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1.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94" activeTab="0"/>
  </bookViews>
  <sheets>
    <sheet name="Intro" sheetId="1" r:id="rId1"/>
    <sheet name="Time Line" sheetId="2" state="hidden" r:id="rId2"/>
    <sheet name="Contacts" sheetId="3" state="hidden" r:id="rId3"/>
    <sheet name="Press Contacts" sheetId="4" state="hidden" r:id="rId4"/>
    <sheet name="Budget" sheetId="5" state="hidden" r:id="rId5"/>
    <sheet name="Summary" sheetId="6" r:id="rId6"/>
    <sheet name="PROVISIONAL busking plan" sheetId="7" r:id="rId7"/>
    <sheet name="Busking Places" sheetId="8" r:id="rId8"/>
    <sheet name="Victualling" sheetId="9" r:id="rId9"/>
    <sheet name="Approx Distance Chart" sheetId="10" r:id="rId10"/>
    <sheet name="Busking Plot" sheetId="11" r:id="rId11"/>
    <sheet name="Support" sheetId="12" state="hidden" r:id="rId12"/>
    <sheet name="Attendance" sheetId="13" state="hidden" r:id="rId13"/>
    <sheet name="Location for Finale" sheetId="14" state="hidden" r:id="rId14"/>
    <sheet name="Questions relating to Finale" sheetId="15" state="hidden" r:id="rId15"/>
    <sheet name="The Morris Shop" sheetId="16" state="hidden" r:id="rId16"/>
    <sheet name="sheet N " sheetId="17" state="hidden" r:id="rId17"/>
    <sheet name="Archive" sheetId="18" r:id="rId18"/>
  </sheets>
  <definedNames>
    <definedName name="Archive">'Archive'!$1:$10</definedName>
    <definedName name="Eseries">#REF!</definedName>
    <definedName name="Excel_BuiltIn_Print_Area_10">'Approx Distance Chart'!$C$1:$AE$31</definedName>
    <definedName name="Excel_BuiltIn_Print_Titles_4">'Press Contacts'!$A:$A,'Press Contacts'!$1:$1</definedName>
    <definedName name="Excel_BuiltIn_Print_Titles_7">'PROVISIONAL busking plan'!$1:$1</definedName>
    <definedName name="T">#REF!</definedName>
  </definedNames>
  <calcPr fullCalcOnLoad="1"/>
</workbook>
</file>

<file path=xl/sharedStrings.xml><?xml version="1.0" encoding="utf-8"?>
<sst xmlns="http://schemas.openxmlformats.org/spreadsheetml/2006/main" count="2777" uniqueCount="1460">
  <si>
    <t>Joint Morris Organisations</t>
  </si>
  <si>
    <t>2014 Day of Dance</t>
  </si>
  <si>
    <t>Cambridge</t>
  </si>
  <si>
    <t>Host Organisation</t>
  </si>
  <si>
    <t>The Morris Ring</t>
  </si>
  <si>
    <t>Host club</t>
  </si>
  <si>
    <t>Cambridge Morris Men</t>
  </si>
  <si>
    <t>Date</t>
  </si>
  <si>
    <t>Contents</t>
  </si>
  <si>
    <t>Summary</t>
  </si>
  <si>
    <t>Who dances Where</t>
  </si>
  <si>
    <t>Busking Places</t>
  </si>
  <si>
    <t>Victualling</t>
  </si>
  <si>
    <t>Approx. Distance Chart</t>
  </si>
  <si>
    <t>Busking plot</t>
  </si>
  <si>
    <t>Archive</t>
  </si>
  <si>
    <r>
      <t>Date</t>
    </r>
    <r>
      <rPr>
        <sz val="10"/>
        <rFont val="Arial"/>
        <family val="2"/>
      </rPr>
      <t xml:space="preserve"> (most recent at top)</t>
    </r>
  </si>
  <si>
    <t>Time</t>
  </si>
  <si>
    <t>Action</t>
  </si>
  <si>
    <t>Detail</t>
  </si>
  <si>
    <t>Location</t>
  </si>
  <si>
    <t>Notes</t>
  </si>
  <si>
    <t>Own</t>
  </si>
  <si>
    <t>Resource</t>
  </si>
  <si>
    <t>Done</t>
  </si>
  <si>
    <t>Ref</t>
  </si>
  <si>
    <t>wash up</t>
  </si>
  <si>
    <t>Cycle Tour</t>
  </si>
  <si>
    <t>de France</t>
  </si>
  <si>
    <t>depart from Cambridge</t>
  </si>
  <si>
    <t>Travelling Morrice to</t>
  </si>
  <si>
    <t>Sat 28 Jun</t>
  </si>
  <si>
    <t>CMM resources committed</t>
  </si>
  <si>
    <t>JJ</t>
  </si>
  <si>
    <t>2 0 1 4</t>
  </si>
  <si>
    <t>constraints</t>
  </si>
  <si>
    <t>Thaxted</t>
  </si>
  <si>
    <t>W/E</t>
  </si>
  <si>
    <t>Essex</t>
  </si>
  <si>
    <t>GDC</t>
  </si>
  <si>
    <t>Spring B/Hol</t>
  </si>
  <si>
    <t>Bampton weekend</t>
  </si>
  <si>
    <t>Finale</t>
  </si>
  <si>
    <t>Parkers Piece</t>
  </si>
  <si>
    <t>Massed plus show dances.
Hire from parks dept.</t>
  </si>
  <si>
    <t>GDC/RS</t>
  </si>
  <si>
    <t>c/centre</t>
  </si>
  <si>
    <t>Busking rules apply</t>
  </si>
  <si>
    <t>lunch 2</t>
  </si>
  <si>
    <t>lunch 1</t>
  </si>
  <si>
    <t>DoD</t>
  </si>
  <si>
    <t>May B/Hol</t>
  </si>
  <si>
    <t>CMM SDoD</t>
  </si>
  <si>
    <t>Easter week</t>
  </si>
  <si>
    <t>DDMM R/M</t>
  </si>
  <si>
    <t>Ely</t>
  </si>
  <si>
    <t>Morris Ring resources committed</t>
  </si>
  <si>
    <t>DDMM</t>
  </si>
  <si>
    <t>OUTSTANDING ISSUES</t>
  </si>
  <si>
    <t>Hire access key for vehicle if required</t>
  </si>
  <si>
    <t>Base location?</t>
  </si>
  <si>
    <t>Morris Shop location, licence?</t>
  </si>
  <si>
    <t>more busking sites</t>
  </si>
  <si>
    <t>advise police</t>
  </si>
  <si>
    <t>provisional scheduel complete</t>
  </si>
  <si>
    <t>email</t>
  </si>
  <si>
    <t>request</t>
  </si>
  <si>
    <t>hire Michael Mayne room admin/shop</t>
  </si>
  <si>
    <t>SB</t>
  </si>
  <si>
    <t>reply</t>
  </si>
  <si>
    <t>25 orange collecting boxes ordered.</t>
  </si>
  <si>
    <t>PW</t>
  </si>
  <si>
    <t>Data on OM sides, partly outdated.</t>
  </si>
  <si>
    <t>info</t>
  </si>
  <si>
    <t>P+R info requested by Green Dragon</t>
  </si>
  <si>
    <t>Todd</t>
  </si>
  <si>
    <t>confirm</t>
  </si>
  <si>
    <t>total 56 sides + GEM collective</t>
  </si>
  <si>
    <t>BA, BH</t>
  </si>
  <si>
    <t>collect</t>
  </si>
  <si>
    <t>from ARM</t>
  </si>
  <si>
    <t>2x3 MR displays, 43 collecting boxes</t>
  </si>
  <si>
    <t>chase</t>
  </si>
  <si>
    <t>list of sides from OM?</t>
  </si>
  <si>
    <t>BH</t>
  </si>
  <si>
    <t>lists of attendees from Fed</t>
  </si>
  <si>
    <t>MB</t>
  </si>
  <si>
    <t>phone</t>
  </si>
  <si>
    <t>lists of attendees from Fed and Open</t>
  </si>
  <si>
    <t>CC</t>
  </si>
  <si>
    <t>update</t>
  </si>
  <si>
    <t>Hire application complete. Sides PLI?</t>
  </si>
  <si>
    <t>AF</t>
  </si>
  <si>
    <t>Contact established, will look at map</t>
  </si>
  <si>
    <t>SL</t>
  </si>
  <si>
    <t>PA 500W, PAT, no extinguisher</t>
  </si>
  <si>
    <t>HL</t>
  </si>
  <si>
    <t>interview</t>
  </si>
  <si>
    <t>cambridge105</t>
  </si>
  <si>
    <t>CB1 2LG</t>
  </si>
  <si>
    <t>Julian Clover, Drive prog on CMM, local sides and JMO day of dance</t>
  </si>
  <si>
    <t>finale to end about 16.30</t>
  </si>
  <si>
    <t>SE</t>
  </si>
  <si>
    <t>Local campsite list to Dartington b/m</t>
  </si>
  <si>
    <t>CEN</t>
  </si>
  <si>
    <t>programme for photographer.</t>
  </si>
  <si>
    <t>press release</t>
  </si>
  <si>
    <t>all press/c</t>
  </si>
  <si>
    <t>advance information</t>
  </si>
  <si>
    <t>agree</t>
  </si>
  <si>
    <t>Use cellphones from sides to SJA</t>
  </si>
  <si>
    <t>WB</t>
  </si>
  <si>
    <t>accept</t>
  </si>
  <si>
    <t>Agree first aid cover, comms TBA</t>
  </si>
  <si>
    <t>SJA1</t>
  </si>
  <si>
    <t>quote</t>
  </si>
  <si>
    <t>quote for CRU only</t>
  </si>
  <si>
    <t>quote for 2 fixed, 2 cycle 1st aiders</t>
  </si>
  <si>
    <t>no reply?  Market stall trading?</t>
  </si>
  <si>
    <t>SL has the high visibility jackets</t>
  </si>
  <si>
    <t>SA</t>
  </si>
  <si>
    <t>No quote from Cbg after 2 weeks</t>
  </si>
  <si>
    <t>Have lots of boxes, will find bibs</t>
  </si>
  <si>
    <t>collecing boxes, Hi/V bibs</t>
  </si>
  <si>
    <t>attend</t>
  </si>
  <si>
    <t>meeting</t>
  </si>
  <si>
    <t>JMO review in Birstall V. Hall, Leics.</t>
  </si>
  <si>
    <t>Display posters adapted for Shop</t>
  </si>
  <si>
    <t>MS</t>
  </si>
  <si>
    <t>proposals</t>
  </si>
  <si>
    <t>Morris Shop locations, timing etc.</t>
  </si>
  <si>
    <t>review progress</t>
  </si>
  <si>
    <t>Agreed CMM insurance for event OK.</t>
  </si>
  <si>
    <t>Web page on CMM site, QR code.</t>
  </si>
  <si>
    <t>TM</t>
  </si>
  <si>
    <t>If all performers are club members then no problem.</t>
  </si>
  <si>
    <t>SN</t>
  </si>
  <si>
    <t>Morris Shop to attend - how?</t>
  </si>
  <si>
    <t>query</t>
  </si>
  <si>
    <t>Accept CMM ins. covers event?</t>
  </si>
  <si>
    <t>CMM insurance covers event, TBC</t>
  </si>
  <si>
    <t>JMO meeting next Sunday, Birstall</t>
  </si>
  <si>
    <t>I see no problem</t>
  </si>
  <si>
    <t>PL Insurance via ring or CMM?</t>
  </si>
  <si>
    <t>What is PA rating (for council form)</t>
  </si>
  <si>
    <t>Brian Hansell (WMM) PA OK £100</t>
  </si>
  <si>
    <t>Bill Warder - Westminster MM DoD</t>
  </si>
  <si>
    <t>US</t>
  </si>
  <si>
    <t>Steph will fwd to Cambridge for est.</t>
  </si>
  <si>
    <t>web</t>
  </si>
  <si>
    <t>details of request to SJA</t>
  </si>
  <si>
    <t>verbal</t>
  </si>
  <si>
    <t>contact</t>
  </si>
  <si>
    <t>JJ happy to act as referee to council</t>
  </si>
  <si>
    <t>offer</t>
  </si>
  <si>
    <t>can provide all MR ins. Certificates</t>
  </si>
  <si>
    <t>Referee OK.  Check 1st aid req't</t>
  </si>
  <si>
    <t>4 SJA all day de trop, maybe 2</t>
  </si>
  <si>
    <t>HPA</t>
  </si>
  <si>
    <t>More details</t>
  </si>
  <si>
    <t>Collection amounts since 2009</t>
  </si>
  <si>
    <t>fwd accounts request to Phil Watson</t>
  </si>
  <si>
    <t>Club's PLI via JMO suffices</t>
  </si>
  <si>
    <t>Marshalls?  Programmes? Lost tins?</t>
  </si>
  <si>
    <t>Account of earlier DoDs, collections?</t>
  </si>
  <si>
    <t>SJA all day or just massed shows?</t>
  </si>
  <si>
    <t>Reference - PL ins. - 1st Aid</t>
  </si>
  <si>
    <t>Event insurance is important.  Referee is for the event.  Don't worry about application form.</t>
  </si>
  <si>
    <t>Risk assessment and app form p4</t>
  </si>
  <si>
    <t>MJ</t>
  </si>
  <si>
    <t>download</t>
  </si>
  <si>
    <t>pdf</t>
  </si>
  <si>
    <t>https://www.cambridge.gov.uk/open-spaces-for-hire</t>
  </si>
  <si>
    <t>pre-event checklist etc. Event ins.?</t>
  </si>
  <si>
    <t>permission letter, app form, ins. req.?</t>
  </si>
  <si>
    <t>JA</t>
  </si>
  <si>
    <t>OK in principle, busy, details from JA</t>
  </si>
  <si>
    <t>progress on finale?</t>
  </si>
  <si>
    <t>ask Todd to set up web pages</t>
  </si>
  <si>
    <t>invite</t>
  </si>
  <si>
    <t>text Announcement</t>
  </si>
  <si>
    <t>JMO</t>
  </si>
  <si>
    <t>Thanks &amp; invitation</t>
  </si>
  <si>
    <t>Process and forms</t>
  </si>
  <si>
    <t>BG</t>
  </si>
  <si>
    <t>draft</t>
  </si>
  <si>
    <t>poster</t>
  </si>
  <si>
    <t>Sides to attend</t>
  </si>
  <si>
    <t>.GIF of Open Morris logo</t>
  </si>
  <si>
    <t>Paul W.</t>
  </si>
  <si>
    <t>search</t>
  </si>
  <si>
    <t>archive</t>
  </si>
  <si>
    <t>Collected photos for publicity</t>
  </si>
  <si>
    <t>Open logo from Paul Wisdom</t>
  </si>
  <si>
    <t>Fed logo from Kevin Taylor</t>
  </si>
  <si>
    <t>Ring logo from Peter de Courcy</t>
  </si>
  <si>
    <t>Permit</t>
  </si>
  <si>
    <t>Target for councillors of Market Ward to approve massed show</t>
  </si>
  <si>
    <t>Yes, mayor will attend. When?ASAP</t>
  </si>
  <si>
    <t>Message passed to mayor, Paul Saunders, until election June '14</t>
  </si>
  <si>
    <t>voicemail</t>
  </si>
  <si>
    <t>How to arrange for mayor to attend?</t>
  </si>
  <si>
    <t>State Intent</t>
  </si>
  <si>
    <t>Deadline: send statement of intent for massed show to city council,
cc relevant councillors</t>
  </si>
  <si>
    <t>Confirm date to Charlie Corcoran</t>
  </si>
  <si>
    <t>Is a TEN required? +info from J.Burke</t>
  </si>
  <si>
    <t>LC</t>
  </si>
  <si>
    <t>Talked to PA provider at Thaxted</t>
  </si>
  <si>
    <t>BW</t>
  </si>
  <si>
    <t>advice</t>
  </si>
  <si>
    <t>Details about Exeter DoD 2013</t>
  </si>
  <si>
    <t>JL</t>
  </si>
  <si>
    <t>In 2012 the OM officers were in disarray so forget Stratford-o-A.</t>
  </si>
  <si>
    <t>FM</t>
  </si>
  <si>
    <t>notes</t>
  </si>
  <si>
    <t>Observations from Exeter 2013</t>
  </si>
  <si>
    <t>RS</t>
  </si>
  <si>
    <t>Morris licensing legislation re TEN</t>
  </si>
  <si>
    <t>John Burke</t>
  </si>
  <si>
    <t>Experience re Sheffield 2010 JMO:
including accounts</t>
  </si>
  <si>
    <t>Contact for Unicorn PA u/a Thaxted</t>
  </si>
  <si>
    <t>Daniel Fox</t>
  </si>
  <si>
    <t>report</t>
  </si>
  <si>
    <t>25 Feb plan and buskers' CoP</t>
  </si>
  <si>
    <r>
      <t xml:space="preserve">RS </t>
    </r>
    <r>
      <rPr>
        <i/>
        <sz val="10"/>
        <rFont val="Arial"/>
        <family val="2"/>
      </rPr>
      <t>et al</t>
    </r>
  </si>
  <si>
    <t>OK but might need temp. events notice</t>
  </si>
  <si>
    <t>HBH</t>
  </si>
  <si>
    <t>Agree Leisure Park site not suitable.</t>
  </si>
  <si>
    <t>YM</t>
  </si>
  <si>
    <t>See notes in "Final massed show"</t>
  </si>
  <si>
    <t>All seven stripes unless bifurcate.</t>
  </si>
  <si>
    <t>How much space do you need?</t>
  </si>
  <si>
    <t>send</t>
  </si>
  <si>
    <t>Final show at Leisure Park?</t>
  </si>
  <si>
    <t>Two event planning exec contacts</t>
  </si>
  <si>
    <t>XL</t>
  </si>
  <si>
    <t>Cath Garner to email contact info</t>
  </si>
  <si>
    <t>Interested but 2014 plan not yet open</t>
  </si>
  <si>
    <t>webmail</t>
  </si>
  <si>
    <t>www.x-leisure.co.uk/contact-us</t>
  </si>
  <si>
    <t>Ask Cambridge Leisure</t>
  </si>
  <si>
    <t>fwd</t>
  </si>
  <si>
    <t>Use of a park for massed show</t>
  </si>
  <si>
    <t>AW, AF</t>
  </si>
  <si>
    <t>Charity collection?  Further w/c 11/2</t>
  </si>
  <si>
    <t>Buskers CoP</t>
  </si>
  <si>
    <t>Proposed DoD - date?</t>
  </si>
  <si>
    <t>HBH, JJ</t>
  </si>
  <si>
    <t>initial</t>
  </si>
  <si>
    <t>How to proceed? Please email</t>
  </si>
  <si>
    <t>research</t>
  </si>
  <si>
    <t>Dates of JMOs</t>
  </si>
  <si>
    <t>meet</t>
  </si>
  <si>
    <t>plan</t>
  </si>
  <si>
    <t>Details JMO 2009</t>
  </si>
  <si>
    <t>Files from 2011 JMO</t>
  </si>
  <si>
    <t>Proposal - feedback?</t>
  </si>
  <si>
    <t>CMM_local</t>
  </si>
  <si>
    <t>JMO more feasible</t>
  </si>
  <si>
    <t>OK</t>
  </si>
  <si>
    <t>suggest JMO instead of RM in 2014</t>
  </si>
  <si>
    <t>JJ, RS, CC</t>
  </si>
  <si>
    <t>ID</t>
  </si>
  <si>
    <t>Name</t>
  </si>
  <si>
    <t>Role</t>
  </si>
  <si>
    <t>Landline</t>
  </si>
  <si>
    <t>Mobile</t>
  </si>
  <si>
    <t>Email</t>
  </si>
  <si>
    <t>Notes or Address</t>
  </si>
  <si>
    <t>Cambridge MM</t>
  </si>
  <si>
    <t>John</t>
  </si>
  <si>
    <t>Jenner</t>
  </si>
  <si>
    <t>CMM squire</t>
  </si>
  <si>
    <t>01763 242 127</t>
  </si>
  <si>
    <t>07971 076 933</t>
  </si>
  <si>
    <t>squire@cambridemorrismen.org.uk</t>
  </si>
  <si>
    <t>Ollie</t>
  </si>
  <si>
    <t>King</t>
  </si>
  <si>
    <t>CMM ex-sq</t>
  </si>
  <si>
    <t>0744 688 3538</t>
  </si>
  <si>
    <t>oliver.king11@btinternet.com</t>
  </si>
  <si>
    <t>Graham</t>
  </si>
  <si>
    <t>Cox</t>
  </si>
  <si>
    <t>CMM bagman</t>
  </si>
  <si>
    <t>01223 500 373</t>
  </si>
  <si>
    <t>077 9289 6543</t>
  </si>
  <si>
    <t>bagman@cambridgemorrismen.org.uk</t>
  </si>
  <si>
    <t>Mike</t>
  </si>
  <si>
    <t>Jones</t>
  </si>
  <si>
    <t>H&amp;S adviser</t>
  </si>
  <si>
    <t>01603 882 041</t>
  </si>
  <si>
    <t xml:space="preserve">077010 33 556 </t>
  </si>
  <si>
    <t>kemp5ka5h@yahoo.co.uk</t>
  </si>
  <si>
    <t>Mack</t>
  </si>
  <si>
    <t>CMM asst webmaster</t>
  </si>
  <si>
    <t>01638 780 515</t>
  </si>
  <si>
    <t>07833 474648</t>
  </si>
  <si>
    <t>macktoddmack@me.com</t>
  </si>
  <si>
    <t>&lt;email group&gt;</t>
  </si>
  <si>
    <t>members resident in Cambridge area</t>
  </si>
  <si>
    <t>Robin</t>
  </si>
  <si>
    <t>Springett</t>
  </si>
  <si>
    <t>MR squire</t>
  </si>
  <si>
    <t>0180 383 2062</t>
  </si>
  <si>
    <t>0780 3943 568</t>
  </si>
  <si>
    <t>springettrobin@gmail.com</t>
  </si>
  <si>
    <t>Peter</t>
  </si>
  <si>
    <t>Halfpenney</t>
  </si>
  <si>
    <t>AC chairman</t>
  </si>
  <si>
    <t>01909 56 00 59</t>
  </si>
  <si>
    <t>HPAServices@aol.com</t>
  </si>
  <si>
    <t>Charlie</t>
  </si>
  <si>
    <t>Corcoran</t>
  </si>
  <si>
    <t>MR bagman</t>
  </si>
  <si>
    <t>01162 675 654</t>
  </si>
  <si>
    <t>bagman@themorrisring.org</t>
  </si>
  <si>
    <t>Collating MR bookings</t>
  </si>
  <si>
    <t>Steven</t>
  </si>
  <si>
    <t>Archer</t>
  </si>
  <si>
    <t>MR treasurer</t>
  </si>
  <si>
    <t>01372 454 024</t>
  </si>
  <si>
    <t>07973 501 790</t>
  </si>
  <si>
    <t>treasurer@barwick-green.co.uk</t>
  </si>
  <si>
    <t>Michael</t>
  </si>
  <si>
    <t>Stimpson</t>
  </si>
  <si>
    <t>JMO Insurance</t>
  </si>
  <si>
    <t>01923 770 425</t>
  </si>
  <si>
    <t>StimpsonM@aol.com</t>
  </si>
  <si>
    <t>PDC</t>
  </si>
  <si>
    <t>de Courcy</t>
  </si>
  <si>
    <t>MR webmaster</t>
  </si>
  <si>
    <t>webmaster@themorrisring.org</t>
  </si>
  <si>
    <t>JB</t>
  </si>
  <si>
    <t>Burke</t>
  </si>
  <si>
    <t>MR adviser</t>
  </si>
  <si>
    <t>023 8036 5024</t>
  </si>
  <si>
    <t>0750 2393 942</t>
  </si>
  <si>
    <t>john_burke@ntlworld.com</t>
  </si>
  <si>
    <t>Melanie</t>
  </si>
  <si>
    <t>Barber</t>
  </si>
  <si>
    <t>MF president</t>
  </si>
  <si>
    <t>melanieclog@gmail.com</t>
  </si>
  <si>
    <t>2014 president, Collating MF bookings</t>
  </si>
  <si>
    <t>FL</t>
  </si>
  <si>
    <t>Fee</t>
  </si>
  <si>
    <t>Lock</t>
  </si>
  <si>
    <t>MF secretary</t>
  </si>
  <si>
    <t>01424 436 052</t>
  </si>
  <si>
    <t>sec@morrisfed.org.uk</t>
  </si>
  <si>
    <t>JW</t>
  </si>
  <si>
    <t>Jerry</t>
  </si>
  <si>
    <t>West</t>
  </si>
  <si>
    <t>MF notation</t>
  </si>
  <si>
    <t>0125 262 8190</t>
  </si>
  <si>
    <t>notation@morrisfed.org.uk</t>
  </si>
  <si>
    <t>At JMO AGM.  Bright.</t>
  </si>
  <si>
    <t>Barry</t>
  </si>
  <si>
    <t>Goodman</t>
  </si>
  <si>
    <t>MF ex-pres.</t>
  </si>
  <si>
    <t>01462 456 811</t>
  </si>
  <si>
    <t>pres@morrisfed.org.uk</t>
  </si>
  <si>
    <t>2013 president</t>
  </si>
  <si>
    <t>Lewis</t>
  </si>
  <si>
    <t>Gt Western M</t>
  </si>
  <si>
    <t>01626 354 705</t>
  </si>
  <si>
    <t>john@siwel.co.uk</t>
  </si>
  <si>
    <t>2013 JMO DoD organiser</t>
  </si>
  <si>
    <t>Bethan</t>
  </si>
  <si>
    <t>Holdridge</t>
  </si>
  <si>
    <t>OM chair</t>
  </si>
  <si>
    <t>0777 6130 678</t>
  </si>
  <si>
    <t>chair@open-morris.org bethan_sundancer@hotmail.co.uk bethan.holdridge@norfolk.gov.uk</t>
  </si>
  <si>
    <t>BA</t>
  </si>
  <si>
    <t>Brian</t>
  </si>
  <si>
    <t>Antaur</t>
  </si>
  <si>
    <t>OM secretary</t>
  </si>
  <si>
    <t>01263 715 762</t>
  </si>
  <si>
    <t>secretary@open-morris.org</t>
  </si>
  <si>
    <t>Collating OM bookings</t>
  </si>
  <si>
    <t>KW</t>
  </si>
  <si>
    <t>Kim</t>
  </si>
  <si>
    <t>Woodward</t>
  </si>
  <si>
    <t>deputy sec.</t>
  </si>
  <si>
    <t>0117 940 1566</t>
  </si>
  <si>
    <t>0781 3346 819</t>
  </si>
  <si>
    <t>greatcapermorris@yahoo.co.uk</t>
  </si>
  <si>
    <t>Collated OM bookings</t>
  </si>
  <si>
    <t>JC</t>
  </si>
  <si>
    <t>Clifford</t>
  </si>
  <si>
    <t>OM publicity</t>
  </si>
  <si>
    <t>publicity@open-morris.org</t>
  </si>
  <si>
    <t>Phil</t>
  </si>
  <si>
    <t>Watson</t>
  </si>
  <si>
    <t>OM treasurer</t>
  </si>
  <si>
    <t>01902 563 126</t>
  </si>
  <si>
    <t>07967 940 856</t>
  </si>
  <si>
    <t>philwatson5852@gmail.com</t>
  </si>
  <si>
    <t>Also JMO treasurer</t>
  </si>
  <si>
    <t>Shaun</t>
  </si>
  <si>
    <t>Lambley</t>
  </si>
  <si>
    <t>Morris Shop keeper</t>
  </si>
  <si>
    <t>0777 8597 339</t>
  </si>
  <si>
    <t>shaun@themorrisshop.co.uk</t>
  </si>
  <si>
    <t>Local clubs</t>
  </si>
  <si>
    <t>CM</t>
  </si>
  <si>
    <t>Andy</t>
  </si>
  <si>
    <t>Blagbrough</t>
  </si>
  <si>
    <t>Coton b/m</t>
  </si>
  <si>
    <t>01480 810 756</t>
  </si>
  <si>
    <t>079 414 35 195</t>
  </si>
  <si>
    <t>cuillins@mac.com</t>
  </si>
  <si>
    <t>Randall</t>
  </si>
  <si>
    <t>Scott</t>
  </si>
  <si>
    <t>Devils Dyke b/m</t>
  </si>
  <si>
    <t>01223 208 253</t>
  </si>
  <si>
    <t>randall.scott@btinternet.com</t>
  </si>
  <si>
    <t>Penny</t>
  </si>
  <si>
    <t>Lury</t>
  </si>
  <si>
    <t>Fenstanton b/m</t>
  </si>
  <si>
    <t>01366 500 179</t>
  </si>
  <si>
    <t>0773 508 3258</t>
  </si>
  <si>
    <t>plury7@googlemail.com</t>
  </si>
  <si>
    <t>GMGM</t>
  </si>
  <si>
    <t>Gogs contact</t>
  </si>
  <si>
    <t>molly@cusu.cam.ac.uk</t>
  </si>
  <si>
    <t>MMC</t>
  </si>
  <si>
    <t>Andrea</t>
  </si>
  <si>
    <t>Lamble</t>
  </si>
  <si>
    <t>Manor Mill</t>
  </si>
  <si>
    <t>01223 843 529</t>
  </si>
  <si>
    <t>manormillmorris@hotmail.com</t>
  </si>
  <si>
    <t>MMC2</t>
  </si>
  <si>
    <t>Jenny</t>
  </si>
  <si>
    <t>01223 314 191</t>
  </si>
  <si>
    <t>PM</t>
  </si>
  <si>
    <t>Neil</t>
  </si>
  <si>
    <t>Costello</t>
  </si>
  <si>
    <t>Peterborough</t>
  </si>
  <si>
    <t>01733 235 817</t>
  </si>
  <si>
    <t>07749 123 730</t>
  </si>
  <si>
    <t>bagman@peterboroughmorris.co.uk</t>
  </si>
  <si>
    <t>Stevens</t>
  </si>
  <si>
    <t>MR RDO</t>
  </si>
  <si>
    <t>01775 766 923</t>
  </si>
  <si>
    <t>mikestevenspe11@aol.com</t>
  </si>
  <si>
    <t>Cambridge city council officers</t>
  </si>
  <si>
    <t>General enq.</t>
  </si>
  <si>
    <t>01223 457 000</t>
  </si>
  <si>
    <t>enquiries@cambridge.gov.uk</t>
  </si>
  <si>
    <t>Heather</t>
  </si>
  <si>
    <t>Bevan-Hunt</t>
  </si>
  <si>
    <t>city ctr. admin</t>
  </si>
  <si>
    <t>01223 457 465</t>
  </si>
  <si>
    <t>Heather.bevanhunt@cambridge.gov.uk</t>
  </si>
  <si>
    <t>a.k.a. Busking goddess, also charity collection licensing.</t>
  </si>
  <si>
    <t>.</t>
  </si>
  <si>
    <t>AWT</t>
  </si>
  <si>
    <t>White</t>
  </si>
  <si>
    <t>Markets m'g'r</t>
  </si>
  <si>
    <t>Andy.White@cambridge.gov.uk</t>
  </si>
  <si>
    <t>AWN</t>
  </si>
  <si>
    <t>Alistair</t>
  </si>
  <si>
    <t>Wilson</t>
  </si>
  <si>
    <t>Parks m'g'r</t>
  </si>
  <si>
    <t>01223 458 514</t>
  </si>
  <si>
    <t>alistair.wilson@cambridge.gov.uk</t>
  </si>
  <si>
    <t>Off, sick, long term</t>
  </si>
  <si>
    <t>Anthony</t>
  </si>
  <si>
    <t>French</t>
  </si>
  <si>
    <t>Parks a/mgr</t>
  </si>
  <si>
    <t>01223 458 521</t>
  </si>
  <si>
    <t>anthony.french@cambridge.gov,uk</t>
  </si>
  <si>
    <t>Streets and open spaces, Mill Rd depot</t>
  </si>
  <si>
    <t>Julia</t>
  </si>
  <si>
    <t>Anderson</t>
  </si>
  <si>
    <t>Asset support</t>
  </si>
  <si>
    <t>01223 458 520</t>
  </si>
  <si>
    <t>Julia.Anderson@cambridge.gov.uk</t>
  </si>
  <si>
    <t>Luke</t>
  </si>
  <si>
    <t>Catchpole</t>
  </si>
  <si>
    <t>Licensing</t>
  </si>
  <si>
    <t>luke.catchpole@cambridge.gov.uk</t>
  </si>
  <si>
    <t>EC</t>
  </si>
  <si>
    <t>event permits</t>
  </si>
  <si>
    <t>events@cambridge.gov.uk</t>
  </si>
  <si>
    <t>Sue</t>
  </si>
  <si>
    <t>Edwards</t>
  </si>
  <si>
    <t>Civic, twinning</t>
  </si>
  <si>
    <t>01223 457 021</t>
  </si>
  <si>
    <t>Sue.Edwards@cambridge.gov.uk</t>
  </si>
  <si>
    <t>Secretary to the mayor</t>
  </si>
  <si>
    <t>Cambridge city elected councillors</t>
  </si>
  <si>
    <t>Elected</t>
  </si>
  <si>
    <t>Paul</t>
  </si>
  <si>
    <t>Saunders</t>
  </si>
  <si>
    <t>mayor</t>
  </si>
  <si>
    <t>01223 213 803</t>
  </si>
  <si>
    <t>paul.saunders@cambridge.gov.uk</t>
  </si>
  <si>
    <t>Tim</t>
  </si>
  <si>
    <t>Bick</t>
  </si>
  <si>
    <t>Market ward</t>
  </si>
  <si>
    <t>01223 457 231</t>
  </si>
  <si>
    <t>07720 413 173</t>
  </si>
  <si>
    <t>tim.bick@btinternet.com</t>
  </si>
  <si>
    <t>Reiner</t>
  </si>
  <si>
    <t>07717 693 858</t>
  </si>
  <si>
    <t>andrea.reiner@cambridge.gov.uk</t>
  </si>
  <si>
    <t>Colin</t>
  </si>
  <si>
    <t>Rosentiel</t>
  </si>
  <si>
    <t>01223 368 326</t>
  </si>
  <si>
    <t>rosenstiel@cix.co.uk</t>
  </si>
  <si>
    <t>Max</t>
  </si>
  <si>
    <t>Boyce</t>
  </si>
  <si>
    <t>W.Chesterton</t>
  </si>
  <si>
    <t>01223 358 292</t>
  </si>
  <si>
    <t>maxboyce@cix.co.uk</t>
  </si>
  <si>
    <t>Pitt</t>
  </si>
  <si>
    <t>01223 709 544</t>
  </si>
  <si>
    <t>mike@einval.com</t>
  </si>
  <si>
    <t>Damien</t>
  </si>
  <si>
    <t>Tunnacliffe</t>
  </si>
  <si>
    <t xml:space="preserve"> 07514 939 459 </t>
  </si>
  <si>
    <t>damientunnacliffe@yahoo.co.uk</t>
  </si>
  <si>
    <t>Cambridgeshire Constabulary</t>
  </si>
  <si>
    <t>TBA - ask HBH</t>
  </si>
  <si>
    <t>Michaelhouse</t>
  </si>
  <si>
    <t>Binns</t>
  </si>
  <si>
    <t>manager</t>
  </si>
  <si>
    <t>01223 309 167</t>
  </si>
  <si>
    <t>manager@michaelhouse.org.uk</t>
  </si>
  <si>
    <t>St Michael's Church</t>
  </si>
  <si>
    <t>Trinity St.</t>
  </si>
  <si>
    <t>CB2 1SU</t>
  </si>
  <si>
    <t>Public Addess sound system</t>
  </si>
  <si>
    <t>Bill</t>
  </si>
  <si>
    <t>Warder</t>
  </si>
  <si>
    <t>proprietor, Unicorn Sound</t>
  </si>
  <si>
    <t>01438 22 2424</t>
  </si>
  <si>
    <t>07712 465 863</t>
  </si>
  <si>
    <t>Stevenage</t>
  </si>
  <si>
    <t>Hansell</t>
  </si>
  <si>
    <t>01438 220 456</t>
  </si>
  <si>
    <t>0783 7721 905</t>
  </si>
  <si>
    <t>brian.hansell@ntlworld.com</t>
  </si>
  <si>
    <t>First Aid</t>
  </si>
  <si>
    <t>Steph</t>
  </si>
  <si>
    <t>Ruddy</t>
  </si>
  <si>
    <t>Event Svce Coord.</t>
  </si>
  <si>
    <t>0147 32415 00</t>
  </si>
  <si>
    <t>stephanie.ruddy@sja.org.uk</t>
  </si>
  <si>
    <t>Ipswich</t>
  </si>
  <si>
    <t>Wayne</t>
  </si>
  <si>
    <t>Badcock</t>
  </si>
  <si>
    <t>CRU lead</t>
  </si>
  <si>
    <t>wayne.badcock@sja.org.uk</t>
  </si>
  <si>
    <t>Cambridge Leisure Park</t>
  </si>
  <si>
    <t>Yvonne</t>
  </si>
  <si>
    <t>Moulton</t>
  </si>
  <si>
    <t>events exec</t>
  </si>
  <si>
    <t>07740 733 157</t>
  </si>
  <si>
    <t>Yvonne.Moulton@x-leisure.co.uk</t>
  </si>
  <si>
    <t>CL</t>
  </si>
  <si>
    <t>Leisure</t>
  </si>
  <si>
    <t>local admin</t>
  </si>
  <si>
    <t>01223 212 022</t>
  </si>
  <si>
    <t>Management Suite</t>
  </si>
  <si>
    <t>Clifton Road</t>
  </si>
  <si>
    <t>CB1 7DY</t>
  </si>
  <si>
    <t>Catherine</t>
  </si>
  <si>
    <t>Garner</t>
  </si>
  <si>
    <t>H/O marketing asst</t>
  </si>
  <si>
    <t>0207 592 1500</t>
  </si>
  <si>
    <t>www.x-leisure.co.uk/contact-us catherine.garner@x-leisure.co.uk</t>
  </si>
  <si>
    <t>London</t>
  </si>
  <si>
    <t>SW1P 1DE</t>
  </si>
  <si>
    <t>Organisation</t>
  </si>
  <si>
    <t>Type</t>
  </si>
  <si>
    <t>Pub'n Freq.</t>
  </si>
  <si>
    <t>Dept/Rôle</t>
  </si>
  <si>
    <t>name</t>
  </si>
  <si>
    <t>Surname</t>
  </si>
  <si>
    <t>Telephone</t>
  </si>
  <si>
    <t>Address1</t>
  </si>
  <si>
    <t>Address 2</t>
  </si>
  <si>
    <t>City</t>
  </si>
  <si>
    <t>County</t>
  </si>
  <si>
    <t>Postcode</t>
  </si>
  <si>
    <t>Web</t>
  </si>
  <si>
    <t>Comments</t>
  </si>
  <si>
    <t>fRoots</t>
  </si>
  <si>
    <t>Folk Journal</t>
  </si>
  <si>
    <t>Mardles</t>
  </si>
  <si>
    <t>Monthly</t>
  </si>
  <si>
    <t>Morris Matters</t>
  </si>
  <si>
    <t>Adam</t>
  </si>
  <si>
    <t>Garland</t>
  </si>
  <si>
    <t>morris@suffolkfolk.co.uk</t>
  </si>
  <si>
    <t>Anahata</t>
  </si>
  <si>
    <t>anahata@treewind.co.uk</t>
  </si>
  <si>
    <t>editor@suffolkfolk.co.uk</t>
  </si>
  <si>
    <t>Suffolk</t>
  </si>
  <si>
    <t>Magazine of Suffolk Folk</t>
  </si>
  <si>
    <t>The Living Tradition</t>
  </si>
  <si>
    <t>Unicorn</t>
  </si>
  <si>
    <t>Editor</t>
  </si>
  <si>
    <t>Alan</t>
  </si>
  <si>
    <t>Creamer</t>
  </si>
  <si>
    <t>alan@unicornmagazine.org.uk</t>
  </si>
  <si>
    <t>Luton</t>
  </si>
  <si>
    <t>Folk magazine for Beds Bucks Herts</t>
  </si>
  <si>
    <t>Cambridge Edition</t>
  </si>
  <si>
    <t>Magazine (Lifestyle)</t>
  </si>
  <si>
    <t>Nicola</t>
  </si>
  <si>
    <t>Foley</t>
  </si>
  <si>
    <t>nicolafoley@bright-publishing.com</t>
  </si>
  <si>
    <t>Sub Editor</t>
  </si>
  <si>
    <t>Lisa</t>
  </si>
  <si>
    <t>Clatworthy</t>
  </si>
  <si>
    <t>lisaclatworthy@bright-publishing.com</t>
  </si>
  <si>
    <t>Liz</t>
  </si>
  <si>
    <t>Greening</t>
  </si>
  <si>
    <t>lizgreening@bright-pubishing.com</t>
  </si>
  <si>
    <t>East Life</t>
  </si>
  <si>
    <t>editorial@eastmag.com</t>
  </si>
  <si>
    <t>Style</t>
  </si>
  <si>
    <t>Louise</t>
  </si>
  <si>
    <t>Martin</t>
  </si>
  <si>
    <t>louise.martin@cambridge-news.co.uk</t>
  </si>
  <si>
    <t>?? Louse - married ??</t>
  </si>
  <si>
    <t>Cummings</t>
  </si>
  <si>
    <t>louise.cummings@cambridge-news.co.uk</t>
  </si>
  <si>
    <t>C.U. staff newsletter</t>
  </si>
  <si>
    <t>Newpaper (Staff)</t>
  </si>
  <si>
    <t>2 monthly</t>
  </si>
  <si>
    <t>www.cam.ac.uk/for-staff</t>
  </si>
  <si>
    <t>Anglia Ruskin media</t>
  </si>
  <si>
    <t>Newpaper (Student)</t>
  </si>
  <si>
    <t>media@angliastudent.com</t>
  </si>
  <si>
    <t>01223 460 008</t>
  </si>
  <si>
    <t>http://www.angliastudent.com/</t>
  </si>
  <si>
    <t>The Cambridge Student</t>
  </si>
  <si>
    <t>Weekly</t>
  </si>
  <si>
    <t>Official CUSU newspaper</t>
  </si>
  <si>
    <t>Varsity</t>
  </si>
  <si>
    <t>editor@varsity.co.uk</t>
  </si>
  <si>
    <t>Editor changes every term</t>
  </si>
  <si>
    <t>Cambridge Evening News</t>
  </si>
  <si>
    <t>Newspaper (Local)</t>
  </si>
  <si>
    <t>Daily</t>
  </si>
  <si>
    <t>Digital features</t>
  </si>
  <si>
    <t>digital.features@cambridge-news.co.uk</t>
  </si>
  <si>
    <t>News</t>
  </si>
  <si>
    <t>newsdesk@cambridge-news.co.uk</t>
  </si>
  <si>
    <t>Chris</t>
  </si>
  <si>
    <t>Havergal</t>
  </si>
  <si>
    <t>chris.havergal@cambridge-news.co.uk</t>
  </si>
  <si>
    <t>Cambridge News &amp; Crier</t>
  </si>
  <si>
    <t>weeklies@cambridge-news.co.uk</t>
  </si>
  <si>
    <t>0122 34344 39</t>
  </si>
  <si>
    <t>BBC Radio Cambridgeshire</t>
  </si>
  <si>
    <t>Radio Station (Local)</t>
  </si>
  <si>
    <t>General</t>
  </si>
  <si>
    <t>cambridgeshire@bbc.co.uk</t>
  </si>
  <si>
    <t>0845 9252 000</t>
  </si>
  <si>
    <t>Presenter</t>
  </si>
  <si>
    <t>Dougan</t>
  </si>
  <si>
    <t>sue.dougan@bbc.co.uk</t>
  </si>
  <si>
    <t>Presenter, daytime</t>
  </si>
  <si>
    <t>Jeremy</t>
  </si>
  <si>
    <t>Sallis</t>
  </si>
  <si>
    <t>jeremy.sallis@bbc.co.uk</t>
  </si>
  <si>
    <t>Presenter, drive</t>
  </si>
  <si>
    <t>Mann</t>
  </si>
  <si>
    <t>chris.mann@bbc.co.uk</t>
  </si>
  <si>
    <t>Presenter, morning</t>
  </si>
  <si>
    <t>Andie</t>
  </si>
  <si>
    <t>Harper</t>
  </si>
  <si>
    <t>andy.harper@bbc.co.uk</t>
  </si>
  <si>
    <t>Presenter, Sun p.m.</t>
  </si>
  <si>
    <t>Marchant</t>
  </si>
  <si>
    <t>sue.marchant@bbc.co.uk</t>
  </si>
  <si>
    <t>07747 161 710</t>
  </si>
  <si>
    <t>Also weekday reporter</t>
  </si>
  <si>
    <t>Producer, w/e</t>
  </si>
  <si>
    <t>Noble</t>
  </si>
  <si>
    <t>heather.noble@bbc.co.uk</t>
  </si>
  <si>
    <t>07711 3488 31</t>
  </si>
  <si>
    <t>Cambridge 105</t>
  </si>
  <si>
    <t>studio@cambridge105.fm</t>
  </si>
  <si>
    <t>01223 967105</t>
  </si>
  <si>
    <t>Unit 9A</t>
  </si>
  <si>
    <t>Gwydir Street Enterprise Centre</t>
  </si>
  <si>
    <t>www.cambridge105.fm</t>
  </si>
  <si>
    <t>Pete</t>
  </si>
  <si>
    <t>Robbins</t>
  </si>
  <si>
    <t>nightoftheartisans@gmail.com</t>
  </si>
  <si>
    <t>07919 070 490</t>
  </si>
  <si>
    <t>Presenter, 105 Drive
16:00 to 19:00</t>
  </si>
  <si>
    <t>Julian</t>
  </si>
  <si>
    <t>Clover</t>
  </si>
  <si>
    <t>julian@cambridge105.fm</t>
  </si>
  <si>
    <t>01223 464 359
07770 921 352</t>
  </si>
  <si>
    <t>Presenter, Sun a.m.</t>
  </si>
  <si>
    <t>Rowe</t>
  </si>
  <si>
    <t>PRowe41810@aol.com</t>
  </si>
  <si>
    <t>Heart Cambridgeshire</t>
  </si>
  <si>
    <t>cambridgeshire.news@heart.co.uk</t>
  </si>
  <si>
    <t>01733 460 460</t>
  </si>
  <si>
    <t>Star 107.9</t>
  </si>
  <si>
    <t>Manager</t>
  </si>
  <si>
    <t>Mark</t>
  </si>
  <si>
    <t>Peters</t>
  </si>
  <si>
    <t>mark.peters@star107.co.uk</t>
  </si>
  <si>
    <t>20 Mercers Row</t>
  </si>
  <si>
    <t>CB5 8HY</t>
  </si>
  <si>
    <t>www.star107.co.uk</t>
  </si>
  <si>
    <t>news@star107.co.uk</t>
  </si>
  <si>
    <t>01223 32 1107</t>
  </si>
  <si>
    <t>Reception</t>
  </si>
  <si>
    <t>01223 305 107</t>
  </si>
  <si>
    <t>Zack FM</t>
  </si>
  <si>
    <t>Assistant Manager</t>
  </si>
  <si>
    <t>Matt</t>
  </si>
  <si>
    <t>Webb</t>
  </si>
  <si>
    <t>Mildenhall</t>
  </si>
  <si>
    <t>www.zackfm.com/</t>
  </si>
  <si>
    <t>Cambridge TIC</t>
  </si>
  <si>
    <t>Tourist Info Centre</t>
  </si>
  <si>
    <t>info@visitcambridge.org</t>
  </si>
  <si>
    <t>0871 226 8006</t>
  </si>
  <si>
    <t>Peas Hill</t>
  </si>
  <si>
    <t>CB2 3AD</t>
  </si>
  <si>
    <t>www.visitcambridge.org/</t>
  </si>
  <si>
    <t>Ely TIC</t>
  </si>
  <si>
    <t>Annual</t>
  </si>
  <si>
    <t>register via web site form</t>
  </si>
  <si>
    <t>01353 662 062</t>
  </si>
  <si>
    <t>Oliver Cromwell's Ho.</t>
  </si>
  <si>
    <t xml:space="preserve">29 St Mary's Street </t>
  </si>
  <si>
    <t>CB7 4HF</t>
  </si>
  <si>
    <t>http://visitely.eastcambs.gov.uk/events/whats-on</t>
  </si>
  <si>
    <t>St Ives TIC</t>
  </si>
  <si>
    <t>Tracy</t>
  </si>
  <si>
    <t>Davidson</t>
  </si>
  <si>
    <r>
      <t xml:space="preserve">via </t>
    </r>
    <r>
      <rPr>
        <u val="single"/>
        <sz val="8"/>
        <color indexed="12"/>
        <rFont val="Arial"/>
        <family val="2"/>
      </rPr>
      <t>www.stives-town.info/events/add_event.asp</t>
    </r>
  </si>
  <si>
    <t>01480 388 588</t>
  </si>
  <si>
    <t>Speke House</t>
  </si>
  <si>
    <t>17 Compass Point Business Park
Stocks Bridge Way</t>
  </si>
  <si>
    <t>St Ives</t>
  </si>
  <si>
    <t>PE27 5JL</t>
  </si>
  <si>
    <t>www.stives-town.info/tourism.asp</t>
  </si>
  <si>
    <t>BBC Look East</t>
  </si>
  <si>
    <t>TV</t>
  </si>
  <si>
    <t>look.east@bbc.co.uk</t>
  </si>
  <si>
    <t>08457 630 630</t>
  </si>
  <si>
    <t>www.bbc.co.uk/programmes/b006mj5w</t>
  </si>
  <si>
    <t>Local Secrets Ltd.</t>
  </si>
  <si>
    <t>Web Noticeboard</t>
  </si>
  <si>
    <t>info@localsecrets.com</t>
  </si>
  <si>
    <t>St Johns Inno. Centre</t>
  </si>
  <si>
    <t>Cowley Rd</t>
  </si>
  <si>
    <t xml:space="preserve">CB4 0WS </t>
  </si>
  <si>
    <t>https://www.localsecrets.com/</t>
  </si>
  <si>
    <t>Based on CMM press contacts list April 2013</t>
  </si>
  <si>
    <t>emails</t>
  </si>
  <si>
    <t>TOTAL</t>
  </si>
  <si>
    <t>Temporary Event Notice (TEN)</t>
  </si>
  <si>
    <t>Not required for Morris.</t>
  </si>
  <si>
    <t>Hire Parkers Piece</t>
  </si>
  <si>
    <t>Min. half day based on daily rate £133.10 AF Jan 20th.</t>
  </si>
  <si>
    <t>Hire access key for vehicles??</t>
  </si>
  <si>
    <t>probably not needed, park on Regent Terrace. PA &amp; SJA</t>
  </si>
  <si>
    <t>(Unicorn?) PA</t>
  </si>
  <si>
    <t>Agreed by phone 23 Jan Brian Hansell.</t>
  </si>
  <si>
    <t>Event public liability insurance</t>
  </si>
  <si>
    <t>Covered by CMM public liability ins., via JMO, as organisers</t>
  </si>
  <si>
    <t>SJA Cycle response team of two c/w defib and instruments. £144 -30% community discount +20% VAT</t>
  </si>
  <si>
    <t>Hire of Marshalls jackets</t>
  </si>
  <si>
    <t>Morris Shop?</t>
  </si>
  <si>
    <t>Print 100 A4 posters</t>
  </si>
  <si>
    <t>estimate</t>
  </si>
  <si>
    <t>Print 1000 A5 leaflets</t>
  </si>
  <si>
    <t>as at Stratford-on-Avon</t>
  </si>
  <si>
    <t>Collection</t>
  </si>
  <si>
    <t>guess?</t>
  </si>
  <si>
    <t>Introduction</t>
  </si>
  <si>
    <t>On behalf of The Morris Ring, The Morris Federation and Open Morris, Cambridge Morris Men welcome you to the historic, university city of Cambridge. As the fens have lower rainfall than most other areas of England, we expect good weather and a great day of dance.</t>
  </si>
  <si>
    <t>This will be the 9th JMO day of dance, celebrating the 2003 achievement of the Joint Morris Organisations in persuading Parliament through the House of Lords to exempt Morris dancing from the restrictions of the Public Entertainment Act.  We all benefit from that first really major collaboration of the Morris organisations, overcoming many years of mutual distrust.  We also enjoy increasingly constructive local interations between the member clubs of the three organisations.</t>
  </si>
  <si>
    <t>Cambridge was chosen for this day of dance as part of the celebration of the 90th anniversary of the foundation of the Cambridge Morris Men following the first tour of the Travelling Morrice.  In that same year of 1924, Cecil Sharp died so this is a suitable occasion to celebrate his life of which many years were dedicated to collecting dances despite his unfortunate underestimate of the value of the North-West traditions.</t>
  </si>
  <si>
    <t>During the day, sides will dance with various other sides in and around the city centre.  At the end of the afternoon sides will congregate for a final flourish in a large, open space called Parker's Piece.</t>
  </si>
  <si>
    <t>Travel</t>
  </si>
  <si>
    <t>Cambridge is served by railway lines from King's Lynn and Norwich to London as well as an east-west line from Ipswich to Peterborough on the East Coat main line and points further west.  The railway station is fairly close to some of the busking locations and frequent bus services link the station to the city centre.</t>
  </si>
  <si>
    <t>The M11 and A14 provide easy access to the city but local traffic on a Saturday can be heavy so it may be convenient to use the park and ride services or even the guided busway to reach the city centre.  Details of these services are shown on the council web sites, linked from the web page for the day of dance.</t>
  </si>
  <si>
    <t>Some busking tours will start near local car parks or on-street parking.  Details of this will be published as soon as possible.</t>
  </si>
  <si>
    <t>Registration</t>
  </si>
  <si>
    <t>Several registration points will be established as near as possible to the start points of the various busking tours.  Details will be published as soon as possible.  Each side will be given a collecting box.</t>
  </si>
  <si>
    <t>Busking</t>
  </si>
  <si>
    <t>As usual on a JMO day of dance, each side has an individual tour planned so as to meet other sides at each stand.  It is intended that no two sides should meet more than once during the day – we shall see if that works.</t>
  </si>
  <si>
    <t>So as to maintain performance though the day, staggered lunch times are planned. However further adjustment to the plan is required to increase the number of sides dancing at the lunchtime shows by reducing the number of locations in use during these times.  Please watch this space!</t>
  </si>
  <si>
    <t>We shall be required to comply with the city council code of practice for buskers, a copy of which is attached.  The salient feature is that if when we arrive at a planned spot there is already a busker performing nearby we must go somewhere else.  Cambridge Morris Men will keep an eye on where buskers are performing hour by hour and will advise affected sides by mobile phone.  We have identified a number of spare locations to deal with such issues.  This is unlikely to affect locations outside the city centre except near the Grafton shopping centre.</t>
  </si>
  <si>
    <t>Collecting</t>
  </si>
  <si>
    <t>There are significant costs in running that day of dance, including printing publicity material and  providing first aid cover.  Please make every effort to collect from the audience or even from members of your side.  Please return your collecting box at or before the grand finale.  The side that collects most will win a prize.</t>
  </si>
  <si>
    <t>Food, Drink etc.</t>
  </si>
  <si>
    <t>Detailed lists of the pubs, cafes, restaurants and toilets near each busking location will be published ASAP.</t>
  </si>
  <si>
    <t>Safety</t>
  </si>
  <si>
    <t>Each participating side is responsible for the safety of its members.  A team of two cyclists from St John's Ambulance will provide first aid support.  They can be contacted via a mobile phone call to 077 9289 6543.  The nearest accident and emergency unit is at Addenbrooke's hospital, on the southern outskirts of the city.</t>
  </si>
  <si>
    <t>Grand Finale</t>
  </si>
  <si>
    <t>At 4 p.m. all sides are invited to congregate in a large, open space called Parker's Piece.  The city mayor will address participants.  The squire of The Morris Ring on behalf or the JMO will hand over a large donation to Pudsey Bear for the Children in Need charity.  A few of the rising stars of the Morris will perform show dances and all who will are invited to join in two massed dances.</t>
  </si>
  <si>
    <t>Evening</t>
  </si>
  <si>
    <t>There will be music and song sessions at out favorite pubs, not in the city centre.  Details to follow.</t>
  </si>
  <si>
    <t>Accommodation</t>
  </si>
  <si>
    <t>A list of hotes, bed and breakfast houses, campsites etc. is , linked from the web page for the day of dance.</t>
  </si>
  <si>
    <t>Side</t>
  </si>
  <si>
    <t>10:00 to 10:45</t>
  </si>
  <si>
    <t>10:55 to 11:40</t>
  </si>
  <si>
    <t>11:50 to 12:40</t>
  </si>
  <si>
    <t>12:50 to 13:40</t>
  </si>
  <si>
    <t>13:50 to 14:35</t>
  </si>
  <si>
    <t>14:45 to 15:30</t>
  </si>
  <si>
    <t>Adlington MM</t>
  </si>
  <si>
    <t>Quayside</t>
  </si>
  <si>
    <t>Gt St Mary's</t>
  </si>
  <si>
    <t>Laundress Green</t>
  </si>
  <si>
    <t>LUNCH</t>
  </si>
  <si>
    <t>Regent Terrace, S</t>
  </si>
  <si>
    <t>Covent Garden</t>
  </si>
  <si>
    <t>Alford M</t>
  </si>
  <si>
    <t>Jesus Green</t>
  </si>
  <si>
    <t>Butt Green</t>
  </si>
  <si>
    <t>Christ's Pieces</t>
  </si>
  <si>
    <t>Eden Street</t>
  </si>
  <si>
    <t>Allington M</t>
  </si>
  <si>
    <t>The Maypole</t>
  </si>
  <si>
    <t>Sidney Street</t>
  </si>
  <si>
    <t>Guildhall, Mkt. Hill</t>
  </si>
  <si>
    <t>Regent Terrace, N</t>
  </si>
  <si>
    <t>Mawson Road</t>
  </si>
  <si>
    <t>Anstey Royale Chalfont</t>
  </si>
  <si>
    <t>The Cambridge Blue</t>
  </si>
  <si>
    <t>Baldock Midnight M</t>
  </si>
  <si>
    <t>Fort St George</t>
  </si>
  <si>
    <t>Pike's Walk</t>
  </si>
  <si>
    <t>Fitzroy St</t>
  </si>
  <si>
    <t>The Tram Depot</t>
  </si>
  <si>
    <t>Bare Bones Border M</t>
  </si>
  <si>
    <t>Bedfordshire Lace</t>
  </si>
  <si>
    <t>Belles of London City</t>
  </si>
  <si>
    <t>Alexandra Arms</t>
  </si>
  <si>
    <t>Black Horse and Standard</t>
  </si>
  <si>
    <t>Bourne Borderers</t>
  </si>
  <si>
    <t>Bows 'n' Belles</t>
  </si>
  <si>
    <t>Brackley MM</t>
  </si>
  <si>
    <t>Bunnies from Hell</t>
  </si>
  <si>
    <t>Buttercross Belles</t>
  </si>
  <si>
    <t>Chelmsford M</t>
  </si>
  <si>
    <t>Chiltern Hundreds</t>
  </si>
  <si>
    <t>Cinquefoil Rapper</t>
  </si>
  <si>
    <t>Colchester MM</t>
  </si>
  <si>
    <t>Coton M</t>
  </si>
  <si>
    <t>Dartington MM</t>
  </si>
  <si>
    <t>Dr Turberville's M</t>
  </si>
  <si>
    <t>Duke's Dandy</t>
  </si>
  <si>
    <t>East Suffolk MM</t>
  </si>
  <si>
    <t>Ely &amp; Littleport Riot</t>
  </si>
  <si>
    <t>Fenstanton M</t>
  </si>
  <si>
    <t>Fiddlesticks North West Clog</t>
  </si>
  <si>
    <t>Fleet M</t>
  </si>
  <si>
    <t>Gog Magog Molly</t>
  </si>
  <si>
    <t>Golden Star M</t>
  </si>
  <si>
    <t>Great Eastern M</t>
  </si>
  <si>
    <t>Green Dragon M</t>
  </si>
  <si>
    <t>Greensleeves MM</t>
  </si>
  <si>
    <t>Grimsby MM</t>
  </si>
  <si>
    <t>Harlequin M</t>
  </si>
  <si>
    <t>Hawksword</t>
  </si>
  <si>
    <t>Headcorn M</t>
  </si>
  <si>
    <t>Heartsease</t>
  </si>
  <si>
    <t>Jerusalem Jammers</t>
  </si>
  <si>
    <t>Kemp's Men of Norwich</t>
  </si>
  <si>
    <t>Lady Bay Revellers</t>
  </si>
  <si>
    <t>Lagabag M</t>
  </si>
  <si>
    <t>Leicester MM</t>
  </si>
  <si>
    <t>Letchworth MM</t>
  </si>
  <si>
    <t>London Pride MM</t>
  </si>
  <si>
    <t>Manor Mill M</t>
  </si>
  <si>
    <t>Minster Strays</t>
  </si>
  <si>
    <t>Peterborough M</t>
  </si>
  <si>
    <t>Rattlejag M</t>
  </si>
  <si>
    <t>Redbornstoke M</t>
  </si>
  <si>
    <t>Ripley Green Garters</t>
  </si>
  <si>
    <t>Ripley MM</t>
  </si>
  <si>
    <t>Rumford MM</t>
  </si>
  <si>
    <t>St Katherines M</t>
  </si>
  <si>
    <t>Stafford MM</t>
  </si>
  <si>
    <t>Standon M</t>
  </si>
  <si>
    <t>The King's M</t>
  </si>
  <si>
    <t>Way of the Wyrd</t>
  </si>
  <si>
    <t>Westrefelda</t>
  </si>
  <si>
    <t>Wharfedale Wayzgoose</t>
  </si>
  <si>
    <t>Whitethorn M</t>
  </si>
  <si>
    <t>Wicket Brood</t>
  </si>
  <si>
    <t>Young Miscellany</t>
  </si>
  <si>
    <t>OS grid ref. [m]</t>
  </si>
  <si>
    <t>Post</t>
  </si>
  <si>
    <t>Map and details of each spot TBA ASAP</t>
  </si>
  <si>
    <t>Links to</t>
  </si>
  <si>
    <t>E,</t>
  </si>
  <si>
    <t>N</t>
  </si>
  <si>
    <t>Code</t>
  </si>
  <si>
    <t>Pub?</t>
  </si>
  <si>
    <t>Near Pub</t>
  </si>
  <si>
    <t>cw</t>
  </si>
  <si>
    <t>ccw</t>
  </si>
  <si>
    <t>Slow</t>
  </si>
  <si>
    <t>CB5 8AB</t>
  </si>
  <si>
    <t>n</t>
  </si>
  <si>
    <t>The Pickerel</t>
  </si>
  <si>
    <t>CB5 8AF</t>
  </si>
  <si>
    <t>y</t>
  </si>
  <si>
    <t>dance by traffic barrier</t>
  </si>
  <si>
    <t>copy</t>
  </si>
  <si>
    <t>dance on paved octagon</t>
  </si>
  <si>
    <t>paste values</t>
  </si>
  <si>
    <t>CB4 1HA</t>
  </si>
  <si>
    <t>sort by ID</t>
  </si>
  <si>
    <t>Radegund / Hopbine</t>
  </si>
  <si>
    <t>behind gate, opp. Methodist ch.</t>
  </si>
  <si>
    <t>delete junk</t>
  </si>
  <si>
    <t>CB1 1LN</t>
  </si>
  <si>
    <t>St. Radegund or Champ. o' Thames</t>
  </si>
  <si>
    <t>off King St., opp. Belmont Pl.</t>
  </si>
  <si>
    <t>Clarendon Arms or Champ. o' Thames</t>
  </si>
  <si>
    <t>short, wide section of path</t>
  </si>
  <si>
    <t>CB1 1ER</t>
  </si>
  <si>
    <t>The Hopbine</t>
  </si>
  <si>
    <t>or the end of Jesus Terrace</t>
  </si>
  <si>
    <t>Burleigh St.</t>
  </si>
  <si>
    <t>SPARE</t>
  </si>
  <si>
    <t>CB1 1JT</t>
  </si>
  <si>
    <t>The Elm Tree</t>
  </si>
  <si>
    <t>CB1 1DY</t>
  </si>
  <si>
    <t>3, Dover St.</t>
  </si>
  <si>
    <t>Bradmore Court</t>
  </si>
  <si>
    <t>Tram Depot</t>
  </si>
  <si>
    <t>CB1 2LL</t>
  </si>
  <si>
    <t>22 Gwydir Street</t>
  </si>
  <si>
    <t>or Alexandra Arms, leave gap for bikes</t>
  </si>
  <si>
    <t>Gwydir Street, dance in garden</t>
  </si>
  <si>
    <t>opposite Al-Amin</t>
  </si>
  <si>
    <t>Devonshire Arms</t>
  </si>
  <si>
    <t>SPARE (behind bike rails)</t>
  </si>
  <si>
    <t>Ditchburn Place</t>
  </si>
  <si>
    <t>SPARE (sheltered housing)</t>
  </si>
  <si>
    <t>CB1 2HS</t>
  </si>
  <si>
    <t>The Six Bells</t>
  </si>
  <si>
    <t>CB1 2EA</t>
  </si>
  <si>
    <t>The Live &amp; Let Live</t>
  </si>
  <si>
    <t>Gresham Road</t>
  </si>
  <si>
    <t>The Prince Regent</t>
  </si>
  <si>
    <t>SPARE - keep cycle ways clear.</t>
  </si>
  <si>
    <t>CB2 1AW</t>
  </si>
  <si>
    <t>OR at Prince Regent</t>
  </si>
  <si>
    <t>CB2 1DQ</t>
  </si>
  <si>
    <t>The Fountain</t>
  </si>
  <si>
    <t>CB2 1RX</t>
  </si>
  <si>
    <t>The Mill</t>
  </si>
  <si>
    <t>Tarmac area on island</t>
  </si>
  <si>
    <t>Silver Street</t>
  </si>
  <si>
    <t>The Anchor</t>
  </si>
  <si>
    <t>SPARE
dance on footpath on bridge</t>
  </si>
  <si>
    <t>CB2 3QJ</t>
  </si>
  <si>
    <t>The Bath House</t>
  </si>
  <si>
    <t>Or Peas Hill OR Talos</t>
  </si>
  <si>
    <t>Guildhall, Talos</t>
  </si>
  <si>
    <t>The Red Cow</t>
  </si>
  <si>
    <t>SPARE - Guildhall Street</t>
  </si>
  <si>
    <t>Guildhall, Peas Hill</t>
  </si>
  <si>
    <t>Boots</t>
  </si>
  <si>
    <t>CB2 1SZ</t>
  </si>
  <si>
    <t>The Eagle</t>
  </si>
  <si>
    <t>outside West Door</t>
  </si>
  <si>
    <t>CB2 3HG</t>
  </si>
  <si>
    <t>Sidney Street, outside Boots</t>
  </si>
  <si>
    <t>Sussex Street</t>
  </si>
  <si>
    <t>CB1 1PW</t>
  </si>
  <si>
    <t>SPARE for Sidney Street</t>
  </si>
  <si>
    <t>Drummer St.??</t>
  </si>
  <si>
    <t>Champ. o' Thames</t>
  </si>
  <si>
    <t>at end by Christ's Lane</t>
  </si>
  <si>
    <t>City Cycle Hire</t>
  </si>
  <si>
    <t>The Granta</t>
  </si>
  <si>
    <t>Lammas Land</t>
  </si>
  <si>
    <t>The Red Bull</t>
  </si>
  <si>
    <t>Barton Rd</t>
  </si>
  <si>
    <t>NOT</t>
  </si>
  <si>
    <t>because</t>
  </si>
  <si>
    <t>no room</t>
  </si>
  <si>
    <t>Lion Yard</t>
  </si>
  <si>
    <t>no licence</t>
  </si>
  <si>
    <t>Grand Arcade</t>
  </si>
  <si>
    <t>Ethos too posh</t>
  </si>
  <si>
    <t>Christ's Lane</t>
  </si>
  <si>
    <t>next to college - too noisy</t>
  </si>
  <si>
    <t>Lists of pubs, cafes, restaurants and toilets near each dance spot to be added ASAP</t>
  </si>
  <si>
    <t>Manhattan distance</t>
  </si>
  <si>
    <t>max</t>
  </si>
  <si>
    <t>places</t>
  </si>
  <si>
    <t>metres</t>
  </si>
  <si>
    <t>E</t>
  </si>
  <si>
    <t>N,</t>
  </si>
  <si>
    <t>centre E</t>
  </si>
  <si>
    <t>dTheta</t>
  </si>
  <si>
    <t>Parkers piece</t>
  </si>
  <si>
    <t>Centre N</t>
  </si>
  <si>
    <t>Square</t>
  </si>
  <si>
    <t>Radius</t>
  </si>
  <si>
    <t>deg.</t>
  </si>
  <si>
    <t>Theta</t>
  </si>
  <si>
    <t>Based on Gt St Mary's</t>
  </si>
  <si>
    <t>Circle 1km dia. for scale</t>
  </si>
  <si>
    <t>Proposal 1 for support base</t>
  </si>
  <si>
    <t>Michael Mayne Room</t>
  </si>
  <si>
    <t>Concessionary Hire charge (subject to negotiation)</t>
  </si>
  <si>
    <t>Michaelhouse Centre and Café</t>
  </si>
  <si>
    <t>per full day</t>
  </si>
  <si>
    <t>per half day</t>
  </si>
  <si>
    <t>per hour</t>
  </si>
  <si>
    <t>Located at LH rear of ground floor</t>
  </si>
  <si>
    <t>Capacity 10 people</t>
  </si>
  <si>
    <t>Café capacity 150 standing, 90 seated.</t>
  </si>
  <si>
    <t>Proposal 2 for support base</t>
  </si>
  <si>
    <t>to be investigated</t>
  </si>
  <si>
    <t>The Regent, Weatherspoon's</t>
  </si>
  <si>
    <t>DIY?</t>
  </si>
  <si>
    <t>SJA?</t>
  </si>
  <si>
    <t>PA for massed show</t>
  </si>
  <si>
    <t>Westmister MM</t>
  </si>
  <si>
    <t>Web pages</t>
  </si>
  <si>
    <t>root URL:</t>
  </si>
  <si>
    <t>http://www.cambridgemorrismen.org.uk/jmo-2014/</t>
  </si>
  <si>
    <t>Totals:</t>
  </si>
  <si>
    <t>performers</t>
  </si>
  <si>
    <t>sides</t>
  </si>
  <si>
    <t>performers:</t>
  </si>
  <si>
    <t>No.</t>
  </si>
  <si>
    <t>Org(s)</t>
  </si>
  <si>
    <t>Trad(s)</t>
  </si>
  <si>
    <t>Contact(s)</t>
  </si>
  <si>
    <t>email(s)</t>
  </si>
  <si>
    <t>landline(s)</t>
  </si>
  <si>
    <t>mobile(s)</t>
  </si>
  <si>
    <t>share</t>
  </si>
  <si>
    <t>share key</t>
  </si>
  <si>
    <t>evening?</t>
  </si>
  <si>
    <t>Kit</t>
  </si>
  <si>
    <t>App. date</t>
  </si>
  <si>
    <t>JMO conf.</t>
  </si>
  <si>
    <t>MF</t>
  </si>
  <si>
    <t>MR</t>
  </si>
  <si>
    <t>OM</t>
  </si>
  <si>
    <t>Border</t>
  </si>
  <si>
    <t>Cotswold</t>
  </si>
  <si>
    <t>Longsword</t>
  </si>
  <si>
    <t>Molly</t>
  </si>
  <si>
    <t>North-west</t>
  </si>
  <si>
    <t>Rapper</t>
  </si>
  <si>
    <t>Step clog</t>
  </si>
  <si>
    <t>track</t>
  </si>
  <si>
    <t>10:00
to
10:45</t>
  </si>
  <si>
    <t>10:55
to
11:40</t>
  </si>
  <si>
    <t>11:50
to
12:40</t>
  </si>
  <si>
    <t>12:50
to
13:40</t>
  </si>
  <si>
    <t>13:50
to
14:35</t>
  </si>
  <si>
    <t>14:45
to
15:30</t>
  </si>
  <si>
    <t>C</t>
  </si>
  <si>
    <t>Steve Massen</t>
  </si>
  <si>
    <t>bagman@grimsbymorrismen.org.uk</t>
  </si>
  <si>
    <t>07791 415 012</t>
  </si>
  <si>
    <t>Black breeches, black braces with red rosettes etc.</t>
  </si>
  <si>
    <t>Share musician with Duke's Dandy</t>
  </si>
  <si>
    <t>c</t>
  </si>
  <si>
    <t>S</t>
  </si>
  <si>
    <t>Penny Smith</t>
  </si>
  <si>
    <t>lindenbaum@globalnet.co.uk</t>
  </si>
  <si>
    <t>07850 707800</t>
  </si>
  <si>
    <t>Y</t>
  </si>
  <si>
    <t>Share musician with Grimsby MM</t>
  </si>
  <si>
    <t>L</t>
  </si>
  <si>
    <t>Gwyn Fraser</t>
  </si>
  <si>
    <t>arcsquire@yahoo.co.uk</t>
  </si>
  <si>
    <t>07505 338003</t>
  </si>
  <si>
    <t>?</t>
  </si>
  <si>
    <t>Black trousers and waistcoat.</t>
  </si>
  <si>
    <t>Jerusalem Jammers share music</t>
  </si>
  <si>
    <t>Sue Crockett</t>
  </si>
  <si>
    <t>suecrock@ntlworld.com</t>
  </si>
  <si>
    <t>07837 400156</t>
  </si>
  <si>
    <t>Anstey Royale Chalfont sr/music</t>
  </si>
  <si>
    <t>Mike Stevens</t>
  </si>
  <si>
    <t>mikestevensPE11@aol.co.uk</t>
  </si>
  <si>
    <t>07955 874 383</t>
  </si>
  <si>
    <t>Dancers wear the kit of their home clubs.</t>
  </si>
  <si>
    <t>-</t>
  </si>
  <si>
    <t>MF
MR</t>
  </si>
  <si>
    <t>Mike Jones
Greg Snell</t>
  </si>
  <si>
    <t>kemp5ka5h@yahoo.co.uk
kempsmen@hotmail.co.uk</t>
  </si>
  <si>
    <t>07932 175 445</t>
  </si>
  <si>
    <t>Share dancers with Great Eastern</t>
  </si>
  <si>
    <t>Neil Costello</t>
  </si>
  <si>
    <t>Black breeches, Blue baldrics with narrow yellow stripe.</t>
  </si>
  <si>
    <t>w</t>
  </si>
  <si>
    <t>Peter Dodd</t>
  </si>
  <si>
    <t>esmm.bagman@btinternet.com</t>
  </si>
  <si>
    <t>01473 787 323</t>
  </si>
  <si>
    <t>Blue and yellow tabard with ship.</t>
  </si>
  <si>
    <t>B</t>
  </si>
  <si>
    <t>Maggie Johnson</t>
  </si>
  <si>
    <t>maggie.sameuk@tiscali.co.uk</t>
  </si>
  <si>
    <t>07982 842208</t>
  </si>
  <si>
    <t>Black base layer with black, red, green and yellow tatters.</t>
  </si>
  <si>
    <t>Not amplified.
Leicestershire small pipes</t>
  </si>
  <si>
    <t>s</t>
  </si>
  <si>
    <t>Rosie Story</t>
  </si>
  <si>
    <t>rosie489@gmail.com</t>
  </si>
  <si>
    <t>07818 256244</t>
  </si>
  <si>
    <t>Not amplified, drum not excessive.</t>
  </si>
  <si>
    <t>Maggie Kent</t>
  </si>
  <si>
    <t>smockmill@ntlworld.com</t>
  </si>
  <si>
    <t>01353 615503</t>
  </si>
  <si>
    <t>07908 007517</t>
  </si>
  <si>
    <t>Black skirts, individually coloured waistcoats and hankies.</t>
  </si>
  <si>
    <t>Offer some billets in Ely.</t>
  </si>
  <si>
    <t>Andy Reeves</t>
  </si>
  <si>
    <t>gdbagman@gmail.com</t>
  </si>
  <si>
    <t>07769 897483</t>
  </si>
  <si>
    <t>8</t>
  </si>
  <si>
    <t>Park &amp; Ride times ??</t>
  </si>
  <si>
    <t>Bob Edge</t>
  </si>
  <si>
    <t>larrybmince@gmail.com</t>
  </si>
  <si>
    <t>07534 419964</t>
  </si>
  <si>
    <t>Not amplified</t>
  </si>
  <si>
    <t>Malcolm Hills</t>
  </si>
  <si>
    <t>bagman@wharfedale-wayzgoose.co.uk</t>
  </si>
  <si>
    <t>07918 611614</t>
  </si>
  <si>
    <t>Black &amp; whiteface, black trouseres, tabard with white goose.</t>
  </si>
  <si>
    <t>Gill Clough
Geoff Simmonds</t>
  </si>
  <si>
    <t xml:space="preserve">bagman@wicketbrood.org.uk geoffsimmonds@btopenworld.com </t>
  </si>
  <si>
    <t xml:space="preserve">
01442 833 649</t>
  </si>
  <si>
    <t>07803 612154</t>
  </si>
  <si>
    <t>Black coat, trousers, hat.  Blue and green tatters.</t>
  </si>
  <si>
    <t>BC</t>
  </si>
  <si>
    <t>Linda Tunbridge
Neil Cooper</t>
  </si>
  <si>
    <t>lin_tunbridge@hotmail.co.uk turbervilleinfo@gmail.com</t>
  </si>
  <si>
    <t xml:space="preserve">
01466 242 160</t>
  </si>
  <si>
    <t>07799 377578</t>
  </si>
  <si>
    <t>White trouseres, black hats, green and purple baldrics etc.</t>
  </si>
  <si>
    <t>sharing a dancer with Bunnies f/H?
amplified &lt;5W x2</t>
  </si>
  <si>
    <t>Gez Pegram</t>
  </si>
  <si>
    <t>gezpegram@talktalk.net</t>
  </si>
  <si>
    <t>07876 133840</t>
  </si>
  <si>
    <t>BN</t>
  </si>
  <si>
    <t>Lynda Swaine
Joe French
Chris Sainsbury</t>
  </si>
  <si>
    <t>Lynda.swaine@btinternet.com</t>
  </si>
  <si>
    <t>01707 324413</t>
  </si>
  <si>
    <t xml:space="preserve">07833 392045
07961 853717 
07973 795721 </t>
  </si>
  <si>
    <t>Girls: blue skirt with red bands, blue neckerchief.
Boys: black trousers and blue waistcoat.</t>
  </si>
  <si>
    <t>youth side with about 16 parents &amp; siblings</t>
  </si>
  <si>
    <t>Duncan Broomhead
Simon
Tim
John</t>
  </si>
  <si>
    <t>duncan.broomhead@btinternet.com</t>
  </si>
  <si>
    <t xml:space="preserve">
07759 341028
07813 352 370
07792 056 418</t>
  </si>
  <si>
    <t>Grey top hat, black breeches. Red, green &amp; orange baldricks etc.</t>
  </si>
  <si>
    <t>Patrick Purves</t>
  </si>
  <si>
    <t xml:space="preserve">PPurves@aol.com </t>
  </si>
  <si>
    <t>01507 605 385</t>
  </si>
  <si>
    <t>077 1210 7957</t>
  </si>
  <si>
    <t>Black breeches, green/yellow baldrics, black waistcoat with windmill.</t>
  </si>
  <si>
    <t>Mary McKinlay</t>
  </si>
  <si>
    <t>bobmckinlay1@aol.com</t>
  </si>
  <si>
    <t>0796 881 9636</t>
  </si>
  <si>
    <t>Black breeches, blue and green baldrics with yellow badge.</t>
  </si>
  <si>
    <t>Joyce Ormrod</t>
  </si>
  <si>
    <t>info@baldockmidnightmorris.org.uk</t>
  </si>
  <si>
    <t>01525 630 546</t>
  </si>
  <si>
    <t>07592 800 984</t>
  </si>
  <si>
    <t>Black trousers, shirt and waistcoat - silver moon on back.</t>
  </si>
  <si>
    <t>Lesley Smith</t>
  </si>
  <si>
    <t>bezx@hotmail.co.uk</t>
  </si>
  <si>
    <t>07973 858896</t>
  </si>
  <si>
    <t>Dark skirts.  Red and purple waistcoats and hankies.</t>
  </si>
  <si>
    <t>Michelle Griffiths</t>
  </si>
  <si>
    <t>bellesoflondoncity@hotmail.com</t>
  </si>
  <si>
    <t>07720 705205</t>
  </si>
  <si>
    <t>White frock, red basque.</t>
  </si>
  <si>
    <r>
      <t xml:space="preserve">Colin Reid
Ian Phillips
</t>
    </r>
    <r>
      <rPr>
        <sz val="10"/>
        <rFont val="Arial Narrow"/>
        <family val="2"/>
      </rPr>
      <t>Stephen Fernihough</t>
    </r>
  </si>
  <si>
    <t>brackleymorris@gmail.com</t>
  </si>
  <si>
    <t>01604 832830</t>
  </si>
  <si>
    <t xml:space="preserve">
0771 5697 556
077 647 99947</t>
  </si>
  <si>
    <t>Black top hat decorated red, white and blue. White trousers. Cummerbund, baldricks &amp; rosettes individually coloured.</t>
  </si>
  <si>
    <t>Traditional side, also custodians of the Hinton in the Hedges tradition</t>
  </si>
  <si>
    <t>Kelvin Eady</t>
  </si>
  <si>
    <t>bunniesfromhell@hotmail.co.uk</t>
  </si>
  <si>
    <t>07931 743 624</t>
  </si>
  <si>
    <t>more or less pink</t>
  </si>
  <si>
    <t>Martin Theobald</t>
  </si>
  <si>
    <t>mjtheobald@talktalk.net</t>
  </si>
  <si>
    <t>078 54571 567</t>
  </si>
  <si>
    <t>Black breeches, red and green baldricks</t>
  </si>
  <si>
    <t>Andy Blagbrough</t>
  </si>
  <si>
    <t>coton.morris@gmx.com</t>
  </si>
  <si>
    <t>079 414 35195</t>
  </si>
  <si>
    <t>John Skirton</t>
  </si>
  <si>
    <t>johnandria.skirton@virgin.net</t>
  </si>
  <si>
    <t>Black breeches.  Red baldrics etc.</t>
  </si>
  <si>
    <t>Penny Lury</t>
  </si>
  <si>
    <t>Black breeches.  Red and purple baldrics etc.</t>
  </si>
  <si>
    <t>a founder club of Open Morris</t>
  </si>
  <si>
    <t>Jill Whyman</t>
  </si>
  <si>
    <t>jillwhyman@btopenworld.com</t>
  </si>
  <si>
    <t>07791 534055</t>
  </si>
  <si>
    <t>Rachael (sq)
John Dimascio
A.N. other??</t>
  </si>
  <si>
    <t>goldenstarmorris@hotmail.co.uk</t>
  </si>
  <si>
    <t xml:space="preserve">
0126 373 4640</t>
  </si>
  <si>
    <t>077 6560 5656
0779 645 8692
07804 908 531</t>
  </si>
  <si>
    <t>Black breeches.  Red and gold baldrics with Star badge.</t>
  </si>
  <si>
    <t>David Cooling</t>
  </si>
  <si>
    <t>bagman@greensleevesmorris.org.uk</t>
  </si>
  <si>
    <t>07500 993 993</t>
  </si>
  <si>
    <t>black breeches.  Green baldric with red rosettes.  No hat.</t>
  </si>
  <si>
    <t>a founder club of The Morris Ring</t>
  </si>
  <si>
    <t>Craig Simmonds</t>
  </si>
  <si>
    <t>craig.shrimp@googlemail.com</t>
  </si>
  <si>
    <t>07539 100444</t>
  </si>
  <si>
    <t>Black trousers, individual coloured shirts.</t>
  </si>
  <si>
    <t>sharing dancers with Bunnies f/H?</t>
  </si>
  <si>
    <t>Jaquie Stamp</t>
  </si>
  <si>
    <t>squire@headcornmorris.co.uk</t>
  </si>
  <si>
    <t>07812 995736</t>
  </si>
  <si>
    <t>Joint side with shared musicians, and 2-3 under-16s.</t>
  </si>
  <si>
    <t>Yvonne Walters
Gill Willson</t>
  </si>
  <si>
    <t>enquiries@ladybayrevellersmorris.org.uk</t>
  </si>
  <si>
    <t>0115 914 0904</t>
  </si>
  <si>
    <t>0783 700 2721
0782 438 6959</t>
  </si>
  <si>
    <t>Black breeches, red socks and black backed waistcoats</t>
  </si>
  <si>
    <t>Pauline Smith</t>
  </si>
  <si>
    <t>alpdsmith@talktalk.net</t>
  </si>
  <si>
    <t>01379 783 016</t>
  </si>
  <si>
    <t>White trousers, yellow and green baldrics</t>
  </si>
  <si>
    <t>Charlie Corcoran</t>
  </si>
  <si>
    <t>charliecorcoran7@ntlworld.com</t>
  </si>
  <si>
    <t>011 6267 5654</t>
  </si>
  <si>
    <t>Theo Thomas</t>
  </si>
  <si>
    <t>theo.thomas@btinternet.com</t>
  </si>
  <si>
    <t>07702 339 702</t>
  </si>
  <si>
    <t>Black trousers &amp; derby hat. Yellow, green &amp; blue baldrics etc.</t>
  </si>
  <si>
    <t>Peter Kanssen</t>
  </si>
  <si>
    <t>bagman@lpmm.org.uk</t>
  </si>
  <si>
    <t>078 1718 6150</t>
  </si>
  <si>
    <t>White trousers, red baldrick, bowler hat with blue cockade</t>
  </si>
  <si>
    <t>Charlie Leslie</t>
  </si>
  <si>
    <t>chas.redbornstoke @btinternet.com</t>
  </si>
  <si>
    <t>07903 751940</t>
  </si>
  <si>
    <t>Mick Buckley</t>
  </si>
  <si>
    <t>mickbuckley@hotmail.com</t>
  </si>
  <si>
    <t>01773 743 560</t>
  </si>
  <si>
    <t>07763 909 262</t>
  </si>
  <si>
    <t>White trousers.  Yellow and green baldrics and rosettes.</t>
  </si>
  <si>
    <t>Sue Fuller</t>
  </si>
  <si>
    <t>rumfordmorris@hotmail.com</t>
  </si>
  <si>
    <t>079 2113 7177</t>
  </si>
  <si>
    <t>Black breeches, blue and yellow baldrick, straw trilby.</t>
  </si>
  <si>
    <t>Keith Clements</t>
  </si>
  <si>
    <t>keith.clements1@ntlworld.com</t>
  </si>
  <si>
    <t>01933 359166</t>
  </si>
  <si>
    <t>Black trousers, blue and yellow baldrics.</t>
  </si>
  <si>
    <t>Peter Copley</t>
  </si>
  <si>
    <t>peter@copley5.freeserve.co.uk</t>
  </si>
  <si>
    <t>01889 567 962</t>
  </si>
  <si>
    <t>07929 064 356</t>
  </si>
  <si>
    <t>White trousers.  Red &amp; black baldrics, gold knot badge.</t>
  </si>
  <si>
    <t>Neil Bullen</t>
  </si>
  <si>
    <t>neilbullen@hotmail.co.uk</t>
  </si>
  <si>
    <t>07854 105 333</t>
  </si>
  <si>
    <t>Black trousers, red belt. Green waistcoat with eaglet</t>
  </si>
  <si>
    <t>David Jackson</t>
  </si>
  <si>
    <t>paljac7@yahoo.co.uk</t>
  </si>
  <si>
    <t>01553 76 8930</t>
  </si>
  <si>
    <t>White trousers, grey top hat, blue and yellow baldrics etc.</t>
  </si>
  <si>
    <t>only 5 dancers - borrow?</t>
  </si>
  <si>
    <t>CN</t>
  </si>
  <si>
    <t>Celia Kemp</t>
  </si>
  <si>
    <t>cakemp@hotmail.com</t>
  </si>
  <si>
    <t>07867 667756</t>
  </si>
  <si>
    <t>Joint side</t>
  </si>
  <si>
    <t>CR</t>
  </si>
  <si>
    <t>Jenny Everett</t>
  </si>
  <si>
    <t>jenny.l.everett@btinternet.com</t>
  </si>
  <si>
    <t>01473 742334</t>
  </si>
  <si>
    <t>07931 514 510</t>
  </si>
  <si>
    <t>LR</t>
  </si>
  <si>
    <t>Julia Hickman</t>
  </si>
  <si>
    <t>juliahickman001@blueyonder.co.uk</t>
  </si>
  <si>
    <t>07798 904634</t>
  </si>
  <si>
    <t>M</t>
  </si>
  <si>
    <t>Helen Barnard
(or Sarah Knight)</t>
  </si>
  <si>
    <t>07866 171 176</t>
  </si>
  <si>
    <t>Individual: coloured face, bright clothes and hat</t>
  </si>
  <si>
    <t>Happy to help on the day. </t>
  </si>
  <si>
    <t>Jayne Rose</t>
  </si>
  <si>
    <t>jayne@oldcobblers.co.uk</t>
  </si>
  <si>
    <t>01522 703 510</t>
  </si>
  <si>
    <t>07976 732234</t>
  </si>
  <si>
    <t>Black trousers &amp; waistcoat.  Individual coloured ribbons.</t>
  </si>
  <si>
    <t>North Shires Plough Jag</t>
  </si>
  <si>
    <t>Sandra Beeson</t>
  </si>
  <si>
    <t>blackhorseandstandard@googlemail.com</t>
  </si>
  <si>
    <t>07792 499840</t>
  </si>
  <si>
    <t>Blue frock, red stockings and hats.</t>
  </si>
  <si>
    <t>Sue Pratt</t>
  </si>
  <si>
    <t>bowsnbelles@yahoo.co.uk</t>
  </si>
  <si>
    <t>07710 416349</t>
  </si>
  <si>
    <t>Janet Hindle</t>
  </si>
  <si>
    <t>janethindle54@gmail.com</t>
  </si>
  <si>
    <t>07821 467214</t>
  </si>
  <si>
    <t>Accommodation list ??</t>
  </si>
  <si>
    <t>Nick Jones</t>
  </si>
  <si>
    <t>nick.jones00@btinternet.com</t>
  </si>
  <si>
    <t>07742 299178</t>
  </si>
  <si>
    <t>Janet Selvey
Melody Stamford</t>
  </si>
  <si>
    <t>mickandjan2@btinternet.com
Melody.stamford@googlemail.com</t>
  </si>
  <si>
    <t>07979 980405 07920 763678</t>
  </si>
  <si>
    <t>Andrea Lamble</t>
  </si>
  <si>
    <t>07751 877127</t>
  </si>
  <si>
    <t>Judy Buckley</t>
  </si>
  <si>
    <t>ripleygreengarters@hotmail.com</t>
  </si>
  <si>
    <t>07590 613155</t>
  </si>
  <si>
    <t>Susan Pearse</t>
  </si>
  <si>
    <t>suepearse@hotmail.com</t>
  </si>
  <si>
    <t>01908 613 644</t>
  </si>
  <si>
    <t>07752 289026</t>
  </si>
  <si>
    <t>Blue frock with red apron</t>
  </si>
  <si>
    <t>NM</t>
  </si>
  <si>
    <t>Patti Pitt</t>
  </si>
  <si>
    <t>pattipitt6@aol.com</t>
  </si>
  <si>
    <t>01234 376 278</t>
  </si>
  <si>
    <t>Green frocks &amp; white aprons</t>
  </si>
  <si>
    <t>St  Neots Sweeps &amp; Milkmaids</t>
  </si>
  <si>
    <t>R</t>
  </si>
  <si>
    <t>Natasha Woodward</t>
  </si>
  <si>
    <t xml:space="preserve">natasha.woodward@live.co.uk </t>
  </si>
  <si>
    <t>0116 260 3338</t>
  </si>
  <si>
    <t>0794 2188 956</t>
  </si>
  <si>
    <t>Black breeches, red socks and cummerbunds.</t>
  </si>
  <si>
    <t>Crosskey Clog</t>
  </si>
  <si>
    <t>Pete Stafford-Honeyball Elaine</t>
  </si>
  <si>
    <t>pete.staffordhoneyball@o2.co.uk</t>
  </si>
  <si>
    <t>01733 320 252
01778 393 507</t>
  </si>
  <si>
    <t>0775 2644 301
07708 558 094</t>
  </si>
  <si>
    <t>ladies: red blouse &amp; bloomers, navy skirt &amp; legs
men: red waistcoat &amp; braces, navy britches &amp; legs</t>
  </si>
  <si>
    <t>cancelled 24/3 08:01 (OM, NW)</t>
  </si>
  <si>
    <t>spare</t>
  </si>
  <si>
    <t>Limits &amp; Key</t>
  </si>
  <si>
    <t>Federation</t>
  </si>
  <si>
    <t>cw slow</t>
  </si>
  <si>
    <t>Ring</t>
  </si>
  <si>
    <t>cw red or blue</t>
  </si>
  <si>
    <t>Open</t>
  </si>
  <si>
    <t>ccw red or blue</t>
  </si>
  <si>
    <t>Total sides</t>
  </si>
  <si>
    <t>Pair up sharing sides</t>
  </si>
  <si>
    <t>Sort by trads</t>
  </si>
  <si>
    <t>then by name (i.e. random)</t>
  </si>
  <si>
    <t>Cotwold on R+B tracks</t>
  </si>
  <si>
    <t>Others on S track</t>
  </si>
  <si>
    <t>Select starting places by hand, column AD</t>
  </si>
  <si>
    <t>Juggle last few odds</t>
  </si>
  <si>
    <t>as near as poss to Parkside</t>
  </si>
  <si>
    <t>ha</t>
  </si>
  <si>
    <t>This open, grassland park is approximately square, entirely open with diagonal tarmac cycle/footpaths and a central lamp standard.</t>
  </si>
  <si>
    <t>There is no vehicular access but Regent Terrace provides limited parking on one side.  There is a multistorey car park adjacent.</t>
  </si>
  <si>
    <t>Notes on telephone call</t>
  </si>
  <si>
    <t>to AF</t>
  </si>
  <si>
    <t>Anthony French</t>
  </si>
  <si>
    <t>Parks asst. manager</t>
  </si>
  <si>
    <t>Parkers Piece is the driest parkland in Cambridge, hence its use for sports events.  Past events attracted audiences over 20,000 people.</t>
  </si>
  <si>
    <t>This park is heavily used in June but less booked up in May.</t>
  </si>
  <si>
    <t>Events for 2014 will be planned in September and October 2013.  Submit a statement of intent and a risk assessment before this.</t>
  </si>
  <si>
    <t>Council officers review the application and decide what licences etc. are required.</t>
  </si>
  <si>
    <t>The elected representatives (councillors) for Market Ward decide whether to approve the event.</t>
  </si>
  <si>
    <t>The 2014 fee for a non-commercial, national organisation to hire Parkers Piece will be about £135, plus whatever licence fees.</t>
  </si>
  <si>
    <t>Refer to web site:</t>
  </si>
  <si>
    <t>https://www.cambridge.gov.uk/services/park-hire</t>
  </si>
  <si>
    <t>Email to:</t>
  </si>
  <si>
    <t>Christ's Pieces summary</t>
  </si>
  <si>
    <t>Not suitable</t>
  </si>
  <si>
    <t>At the 1971 Cambridge Ring Meeting we held a massed show on Christ's Pieces but the park now has many flower beds, trees etc.</t>
  </si>
  <si>
    <t>Cambridge Leisure Park Piazza summary</t>
  </si>
  <si>
    <t>There is a paved, open area near the railway station and several food outlets but about half of it is enclosed during the summer for street cafes.</t>
  </si>
  <si>
    <t>King's Parade summary</t>
  </si>
  <si>
    <t>At the 1978 Cambridge Ring Meeting we held a massed show on King's Parade but the number of participants was far smaller.</t>
  </si>
  <si>
    <t>The architecture provides a spectacular background but the space is too long and narrow for this purpose.</t>
  </si>
  <si>
    <t>Market Hill summary</t>
  </si>
  <si>
    <t>There is a paved, public area in front of the Guildhall but the market operates until late afternoon and the stall frames remain overnight.</t>
  </si>
  <si>
    <t>Estimated space requirement</t>
  </si>
  <si>
    <t>Compare Town Street, Thaxted</t>
  </si>
  <si>
    <t>OS metre grid references for corners of Town St.:</t>
  </si>
  <si>
    <t>difference</t>
  </si>
  <si>
    <t>length =</t>
  </si>
  <si>
    <t>m</t>
  </si>
  <si>
    <t>width =</t>
  </si>
  <si>
    <t>area =</t>
  </si>
  <si>
    <t>m²</t>
  </si>
  <si>
    <t>i.e.</t>
  </si>
  <si>
    <t xml:space="preserve">Approximately </t>
  </si>
  <si>
    <t>sides attend the Thaxted Morris Weekend</t>
  </si>
  <si>
    <t>sides are expected to attend the Cambridge JMO day of dance</t>
  </si>
  <si>
    <t>Estimated area required for combined finale</t>
  </si>
  <si>
    <t>Request</t>
  </si>
  <si>
    <t>Question</t>
  </si>
  <si>
    <t>Reference</t>
  </si>
  <si>
    <t>Addressee</t>
  </si>
  <si>
    <t>Reply</t>
  </si>
  <si>
    <t>Close date</t>
  </si>
  <si>
    <t>What is referee attesting?</t>
  </si>
  <si>
    <t>Application form, p3</t>
  </si>
  <si>
    <t>Event experience</t>
  </si>
  <si>
    <t>What is event insurance?</t>
  </si>
  <si>
    <t>pre-event checklist</t>
  </si>
  <si>
    <t>Finale organised under auspices of CMM, not MR, thus covered by CMM insurance.  OK with Anthony French of city council.</t>
  </si>
  <si>
    <t>How to affirm sound level or power?</t>
  </si>
  <si>
    <t>Application form, p4</t>
  </si>
  <si>
    <t>Single 500W</t>
  </si>
  <si>
    <t>Does PA car carry fire extinguisher?</t>
  </si>
  <si>
    <t>pre-event checklist #7</t>
  </si>
  <si>
    <t>no</t>
  </si>
  <si>
    <t>Hire cost of PA</t>
  </si>
  <si>
    <t>required for Budget!</t>
  </si>
  <si>
    <t>£100</t>
  </si>
  <si>
    <t>How much did Sheffield DoD collect?</t>
  </si>
  <si>
    <t>Peter HPA</t>
  </si>
  <si>
    <t>£1200.  Phil Watson says other DoDs collected £800-£1100.</t>
  </si>
  <si>
    <t>1st aid necessary for massed show?</t>
  </si>
  <si>
    <t>risk assessment</t>
  </si>
  <si>
    <t>Maybe 2 from SJA all day but might get away with A+E is close. - not that close.</t>
  </si>
  <si>
    <t>Location(s)</t>
  </si>
  <si>
    <t>Near Guildhall?</t>
  </si>
  <si>
    <t>Parkers Piece?</t>
  </si>
  <si>
    <t>Council approval / licence</t>
  </si>
  <si>
    <t>TBA</t>
  </si>
  <si>
    <t>Assistance</t>
  </si>
  <si>
    <t>Duration</t>
  </si>
  <si>
    <t>Year</t>
  </si>
  <si>
    <t>Org</t>
  </si>
  <si>
    <t>Trafalgar Square</t>
  </si>
  <si>
    <t>Newcastle upon Tyne</t>
  </si>
  <si>
    <t>Birmingham</t>
  </si>
  <si>
    <t>Nottingham</t>
  </si>
  <si>
    <t>Bury St Edmunds</t>
  </si>
  <si>
    <t>Sheffield</t>
  </si>
  <si>
    <t>Stratford upon Avon</t>
  </si>
  <si>
    <t>Exeter</t>
  </si>
</sst>
</file>

<file path=xl/styles.xml><?xml version="1.0" encoding="utf-8"?>
<styleSheet xmlns="http://schemas.openxmlformats.org/spreadsheetml/2006/main">
  <numFmts count="19">
    <numFmt numFmtId="164" formatCode="GENERAL"/>
    <numFmt numFmtId="165" formatCode="DDD\ D\ MMMM\ YYYY"/>
    <numFmt numFmtId="166" formatCode="D/MM"/>
    <numFmt numFmtId="167" formatCode="##0.0E+0"/>
    <numFmt numFmtId="168" formatCode="DDD\ DD\ MMM\ YY"/>
    <numFmt numFmtId="169" formatCode="H:MM"/>
    <numFmt numFmtId="170" formatCode="M/D/YYYY"/>
    <numFmt numFmtId="171" formatCode="_-\£* #,##0.00_-;&quot;-£&quot;* #,##0.00_-;_-\£* \-??_-;_-@_-"/>
    <numFmt numFmtId="172" formatCode="_-* #,##0.00_-;\-* #,##0.00_-;_-* \-??_-;_-@_-"/>
    <numFmt numFmtId="173" formatCode="#,##0"/>
    <numFmt numFmtId="174" formatCode="0.0"/>
    <numFmt numFmtId="175" formatCode="\£#,##0;[RED]&quot;-£&quot;#,##0"/>
    <numFmt numFmtId="176" formatCode="D\-MMM"/>
    <numFmt numFmtId="177" formatCode="0%"/>
    <numFmt numFmtId="178" formatCode="0.00%"/>
    <numFmt numFmtId="179" formatCode="0"/>
    <numFmt numFmtId="180" formatCode="0.00"/>
    <numFmt numFmtId="181" formatCode="DD\ MMMM\ YYYY;@"/>
    <numFmt numFmtId="182" formatCode="DDDD&quot;, &quot;MMMM\ DD&quot;, &quot;YYYY"/>
  </numFmts>
  <fonts count="44">
    <font>
      <sz val="10"/>
      <name val="Arial"/>
      <family val="2"/>
    </font>
    <font>
      <i/>
      <sz val="16"/>
      <name val="Monotype Corsiva"/>
      <family val="4"/>
    </font>
    <font>
      <sz val="12"/>
      <name val="Verdana"/>
      <family val="2"/>
    </font>
    <font>
      <b/>
      <sz val="12"/>
      <name val="Verdana"/>
      <family val="2"/>
    </font>
    <font>
      <b/>
      <sz val="10"/>
      <name val="Arial"/>
      <family val="2"/>
    </font>
    <font>
      <sz val="10"/>
      <color indexed="17"/>
      <name val="Arial"/>
      <family val="2"/>
    </font>
    <font>
      <sz val="36"/>
      <color indexed="11"/>
      <name val="Arial"/>
      <family val="2"/>
    </font>
    <font>
      <sz val="22"/>
      <color indexed="11"/>
      <name val="Arial"/>
      <family val="2"/>
    </font>
    <font>
      <b/>
      <sz val="10"/>
      <color indexed="17"/>
      <name val="Arial"/>
      <family val="2"/>
    </font>
    <font>
      <sz val="10"/>
      <color indexed="10"/>
      <name val="Arial"/>
      <family val="2"/>
    </font>
    <font>
      <sz val="10"/>
      <name val="Arial Narrow"/>
      <family val="2"/>
    </font>
    <font>
      <sz val="8"/>
      <name val="Arial Narrow"/>
      <family val="2"/>
    </font>
    <font>
      <b/>
      <sz val="10"/>
      <color indexed="10"/>
      <name val="Arial"/>
      <family val="2"/>
    </font>
    <font>
      <i/>
      <sz val="10"/>
      <name val="Arial"/>
      <family val="2"/>
    </font>
    <font>
      <u val="single"/>
      <sz val="10"/>
      <color indexed="12"/>
      <name val="Arial"/>
      <family val="2"/>
    </font>
    <font>
      <b/>
      <sz val="10"/>
      <color indexed="12"/>
      <name val="Arial"/>
      <family val="2"/>
    </font>
    <font>
      <i/>
      <u val="single"/>
      <sz val="10"/>
      <color indexed="12"/>
      <name val="Arial"/>
      <family val="2"/>
    </font>
    <font>
      <sz val="8"/>
      <name val="Arial"/>
      <family val="2"/>
    </font>
    <font>
      <b/>
      <sz val="8"/>
      <name val="Arial"/>
      <family val="2"/>
    </font>
    <font>
      <u val="single"/>
      <sz val="8"/>
      <color indexed="12"/>
      <name val="Arial"/>
      <family val="2"/>
    </font>
    <font>
      <sz val="8"/>
      <color indexed="8"/>
      <name val="Arial Narrow"/>
      <family val="2"/>
    </font>
    <font>
      <u val="single"/>
      <sz val="8"/>
      <color indexed="12"/>
      <name val="Arial Narrow"/>
      <family val="2"/>
    </font>
    <font>
      <sz val="10"/>
      <color indexed="12"/>
      <name val="Arial"/>
      <family val="2"/>
    </font>
    <font>
      <sz val="9"/>
      <name val="Arial"/>
      <family val="2"/>
    </font>
    <font>
      <sz val="11"/>
      <color indexed="12"/>
      <name val="Arial"/>
      <family val="2"/>
    </font>
    <font>
      <b/>
      <sz val="11"/>
      <color indexed="12"/>
      <name val="Arial"/>
      <family val="2"/>
    </font>
    <font>
      <b/>
      <sz val="10"/>
      <name val="Arial Narrow"/>
      <family val="2"/>
    </font>
    <font>
      <sz val="13.6"/>
      <name val="DejaVu Sans Condensed"/>
      <family val="5"/>
    </font>
    <font>
      <u val="single"/>
      <sz val="9"/>
      <color indexed="12"/>
      <name val="Arial Narrow"/>
      <family val="2"/>
    </font>
    <font>
      <sz val="9"/>
      <name val="Arial Narrow"/>
      <family val="2"/>
    </font>
    <font>
      <u val="single"/>
      <sz val="9"/>
      <color indexed="10"/>
      <name val="Arial Narrow"/>
      <family val="2"/>
    </font>
    <font>
      <sz val="9"/>
      <color indexed="10"/>
      <name val="Arial"/>
      <family val="2"/>
    </font>
    <font>
      <sz val="9"/>
      <color indexed="10"/>
      <name val="Arial Narrow"/>
      <family val="2"/>
    </font>
    <font>
      <sz val="10"/>
      <name val="Arial Unicode MS"/>
      <family val="2"/>
    </font>
    <font>
      <sz val="12"/>
      <name val="Times New Roman"/>
      <family val="1"/>
    </font>
    <font>
      <sz val="9"/>
      <color indexed="12"/>
      <name val="Arial Narrow"/>
      <family val="2"/>
    </font>
    <font>
      <sz val="10"/>
      <color indexed="8"/>
      <name val="Arial"/>
      <family val="2"/>
    </font>
    <font>
      <sz val="9"/>
      <color indexed="8"/>
      <name val="Arial Narrow"/>
      <family val="2"/>
    </font>
    <font>
      <strike/>
      <sz val="10"/>
      <name val="Arial"/>
      <family val="2"/>
    </font>
    <font>
      <strike/>
      <sz val="10"/>
      <color indexed="12"/>
      <name val="Arial Narrow"/>
      <family val="2"/>
    </font>
    <font>
      <strike/>
      <sz val="9"/>
      <name val="Arial Narrow"/>
      <family val="2"/>
    </font>
    <font>
      <strike/>
      <sz val="10"/>
      <color indexed="10"/>
      <name val="Arial"/>
      <family val="2"/>
    </font>
    <font>
      <b/>
      <strike/>
      <sz val="10"/>
      <name val="Arial"/>
      <family val="2"/>
    </font>
    <font>
      <sz val="14"/>
      <name val="Arial"/>
      <family val="2"/>
    </font>
  </fonts>
  <fills count="5">
    <fill>
      <patternFill/>
    </fill>
    <fill>
      <patternFill patternType="gray125"/>
    </fill>
    <fill>
      <patternFill patternType="solid">
        <fgColor indexed="43"/>
        <bgColor indexed="64"/>
      </patternFill>
    </fill>
    <fill>
      <patternFill patternType="solid">
        <fgColor indexed="13"/>
        <bgColor indexed="64"/>
      </patternFill>
    </fill>
    <fill>
      <patternFill patternType="solid">
        <fgColor indexed="22"/>
        <bgColor indexed="64"/>
      </patternFill>
    </fill>
  </fills>
  <borders count="15">
    <border>
      <left/>
      <right/>
      <top/>
      <bottom/>
      <diagonal/>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s>
  <cellStyleXfs count="21">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2" fontId="0" fillId="0" borderId="0" applyFill="0" applyBorder="0" applyAlignment="0" applyProtection="0"/>
    <xf numFmtId="41" fontId="0" fillId="0" borderId="0" applyFill="0" applyBorder="0" applyAlignment="0" applyProtection="0"/>
    <xf numFmtId="171"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14" fillId="0" borderId="0" applyNumberFormat="0" applyFill="0" applyBorder="0" applyAlignment="0" applyProtection="0"/>
  </cellStyleXfs>
  <cellXfs count="263">
    <xf numFmtId="164" fontId="0" fillId="0" borderId="0" xfId="0" applyAlignment="1">
      <alignment/>
    </xf>
    <xf numFmtId="164" fontId="0" fillId="0" borderId="0" xfId="0" applyAlignment="1">
      <alignment horizontal="center"/>
    </xf>
    <xf numFmtId="164" fontId="1" fillId="0" borderId="0" xfId="0" applyFont="1" applyAlignment="1">
      <alignment/>
    </xf>
    <xf numFmtId="164" fontId="1" fillId="0" borderId="0" xfId="0" applyFont="1" applyAlignment="1">
      <alignment horizontal="center"/>
    </xf>
    <xf numFmtId="164" fontId="1" fillId="0" borderId="0" xfId="0" applyFont="1" applyAlignment="1">
      <alignment horizontal="right"/>
    </xf>
    <xf numFmtId="165" fontId="1" fillId="0" borderId="0" xfId="0" applyNumberFormat="1" applyFont="1" applyAlignment="1">
      <alignment/>
    </xf>
    <xf numFmtId="164" fontId="2" fillId="0" borderId="0" xfId="0" applyFont="1" applyAlignment="1">
      <alignment/>
    </xf>
    <xf numFmtId="164" fontId="3" fillId="0" borderId="0" xfId="0" applyFont="1" applyAlignment="1">
      <alignment horizontal="center"/>
    </xf>
    <xf numFmtId="164" fontId="2" fillId="0" borderId="0" xfId="0" applyFont="1" applyAlignment="1">
      <alignment horizontal="center"/>
    </xf>
    <xf numFmtId="164" fontId="0" fillId="0" borderId="0" xfId="0" applyAlignment="1">
      <alignment vertical="top"/>
    </xf>
    <xf numFmtId="164" fontId="0" fillId="0" borderId="0" xfId="0" applyAlignment="1">
      <alignment horizontal="right" vertical="top"/>
    </xf>
    <xf numFmtId="164" fontId="0" fillId="0" borderId="0" xfId="0" applyAlignment="1">
      <alignment vertical="top" wrapText="1"/>
    </xf>
    <xf numFmtId="166" fontId="0" fillId="0" borderId="0" xfId="0" applyNumberFormat="1" applyAlignment="1">
      <alignment horizontal="left" vertical="top"/>
    </xf>
    <xf numFmtId="164" fontId="4" fillId="0" borderId="0" xfId="0" applyFont="1" applyAlignment="1">
      <alignment vertical="top" wrapText="1"/>
    </xf>
    <xf numFmtId="167" fontId="4" fillId="0" borderId="0" xfId="0" applyNumberFormat="1" applyFont="1" applyAlignment="1">
      <alignment vertical="top"/>
    </xf>
    <xf numFmtId="164" fontId="4" fillId="0" borderId="0" xfId="0" applyFont="1" applyAlignment="1">
      <alignment horizontal="right" vertical="top"/>
    </xf>
    <xf numFmtId="164" fontId="4" fillId="0" borderId="0" xfId="0" applyFont="1" applyAlignment="1">
      <alignment vertical="top"/>
    </xf>
    <xf numFmtId="166" fontId="4" fillId="0" borderId="0" xfId="0" applyNumberFormat="1" applyFont="1" applyAlignment="1">
      <alignment horizontal="left" vertical="top"/>
    </xf>
    <xf numFmtId="168" fontId="5" fillId="0" borderId="0" xfId="0" applyNumberFormat="1" applyFont="1" applyAlignment="1">
      <alignment vertical="top"/>
    </xf>
    <xf numFmtId="169" fontId="5" fillId="0" borderId="0" xfId="0" applyNumberFormat="1" applyFont="1" applyAlignment="1">
      <alignment horizontal="center" vertical="top"/>
    </xf>
    <xf numFmtId="164" fontId="5" fillId="0" borderId="0" xfId="0" applyFont="1" applyAlignment="1">
      <alignment horizontal="right" vertical="top" wrapText="1"/>
    </xf>
    <xf numFmtId="164" fontId="5" fillId="0" borderId="0" xfId="0" applyFont="1" applyAlignment="1">
      <alignment vertical="top"/>
    </xf>
    <xf numFmtId="164" fontId="5" fillId="0" borderId="0" xfId="0" applyFont="1" applyAlignment="1">
      <alignment vertical="top" wrapText="1"/>
    </xf>
    <xf numFmtId="166" fontId="5" fillId="0" borderId="0" xfId="0" applyNumberFormat="1" applyFont="1" applyAlignment="1">
      <alignment horizontal="left" vertical="top"/>
    </xf>
    <xf numFmtId="168" fontId="5" fillId="0" borderId="1" xfId="0" applyNumberFormat="1" applyFont="1" applyBorder="1" applyAlignment="1">
      <alignment vertical="top"/>
    </xf>
    <xf numFmtId="169" fontId="5" fillId="0" borderId="2" xfId="0" applyNumberFormat="1" applyFont="1" applyBorder="1" applyAlignment="1">
      <alignment horizontal="center" vertical="top"/>
    </xf>
    <xf numFmtId="164" fontId="5" fillId="0" borderId="2" xfId="0" applyFont="1" applyBorder="1" applyAlignment="1">
      <alignment horizontal="right" vertical="top"/>
    </xf>
    <xf numFmtId="164" fontId="5" fillId="0" borderId="2" xfId="0" applyFont="1" applyBorder="1" applyAlignment="1">
      <alignment vertical="top"/>
    </xf>
    <xf numFmtId="164" fontId="5" fillId="0" borderId="2" xfId="0" applyFont="1" applyBorder="1" applyAlignment="1">
      <alignment vertical="top" wrapText="1"/>
    </xf>
    <xf numFmtId="166" fontId="5" fillId="0" borderId="3" xfId="0" applyNumberFormat="1" applyFont="1" applyBorder="1" applyAlignment="1">
      <alignment horizontal="left" vertical="top"/>
    </xf>
    <xf numFmtId="168" fontId="5" fillId="0" borderId="4" xfId="0" applyNumberFormat="1" applyFont="1" applyBorder="1" applyAlignment="1">
      <alignment vertical="top"/>
    </xf>
    <xf numFmtId="169" fontId="5" fillId="0" borderId="0" xfId="0" applyNumberFormat="1" applyFont="1" applyBorder="1" applyAlignment="1">
      <alignment horizontal="center" vertical="top"/>
    </xf>
    <xf numFmtId="164" fontId="5" fillId="0" borderId="0" xfId="0" applyFont="1" applyBorder="1" applyAlignment="1">
      <alignment horizontal="right" vertical="top"/>
    </xf>
    <xf numFmtId="164" fontId="5" fillId="0" borderId="0" xfId="0" applyFont="1" applyBorder="1" applyAlignment="1">
      <alignment vertical="top"/>
    </xf>
    <xf numFmtId="164" fontId="5" fillId="0" borderId="0" xfId="0" applyFont="1" applyBorder="1" applyAlignment="1">
      <alignment vertical="top" wrapText="1"/>
    </xf>
    <xf numFmtId="164" fontId="6" fillId="0" borderId="0" xfId="0" applyFont="1" applyBorder="1" applyAlignment="1">
      <alignment horizontal="center" vertical="center" textRotation="90" wrapText="1"/>
    </xf>
    <xf numFmtId="164" fontId="7" fillId="0" borderId="5" xfId="0" applyFont="1" applyBorder="1" applyAlignment="1">
      <alignment horizontal="center" vertical="center" textRotation="90" wrapText="1"/>
    </xf>
    <xf numFmtId="168" fontId="8" fillId="2" borderId="4" xfId="0" applyNumberFormat="1" applyFont="1" applyFill="1" applyBorder="1" applyAlignment="1">
      <alignment vertical="top" wrapText="1"/>
    </xf>
    <xf numFmtId="169" fontId="8" fillId="2" borderId="0" xfId="0" applyNumberFormat="1" applyFont="1" applyFill="1" applyBorder="1" applyAlignment="1">
      <alignment horizontal="center" vertical="top" wrapText="1"/>
    </xf>
    <xf numFmtId="164" fontId="8" fillId="2" borderId="0" xfId="0" applyFont="1" applyFill="1" applyBorder="1" applyAlignment="1">
      <alignment horizontal="right" vertical="top" wrapText="1"/>
    </xf>
    <xf numFmtId="164" fontId="5" fillId="2" borderId="0" xfId="0" applyFont="1" applyFill="1" applyBorder="1" applyAlignment="1">
      <alignment vertical="top" wrapText="1"/>
    </xf>
    <xf numFmtId="164" fontId="5" fillId="2" borderId="0" xfId="0" applyFont="1" applyFill="1" applyBorder="1" applyAlignment="1">
      <alignment vertical="top"/>
    </xf>
    <xf numFmtId="169" fontId="8" fillId="2" borderId="0" xfId="0" applyNumberFormat="1" applyFont="1" applyFill="1" applyBorder="1" applyAlignment="1">
      <alignment horizontal="center" vertical="top"/>
    </xf>
    <xf numFmtId="164" fontId="8" fillId="2" borderId="0" xfId="0" applyFont="1" applyFill="1" applyBorder="1" applyAlignment="1">
      <alignment horizontal="right" vertical="top"/>
    </xf>
    <xf numFmtId="166" fontId="5" fillId="0" borderId="5" xfId="0" applyNumberFormat="1" applyFont="1" applyBorder="1" applyAlignment="1">
      <alignment horizontal="left" vertical="top"/>
    </xf>
    <xf numFmtId="168" fontId="8" fillId="0" borderId="6" xfId="0" applyNumberFormat="1" applyFont="1" applyBorder="1" applyAlignment="1">
      <alignment vertical="top"/>
    </xf>
    <xf numFmtId="169" fontId="5" fillId="0" borderId="7" xfId="0" applyNumberFormat="1" applyFont="1" applyBorder="1" applyAlignment="1">
      <alignment horizontal="center" vertical="top"/>
    </xf>
    <xf numFmtId="164" fontId="5" fillId="0" borderId="7" xfId="0" applyFont="1" applyBorder="1" applyAlignment="1">
      <alignment horizontal="right" vertical="top"/>
    </xf>
    <xf numFmtId="164" fontId="5" fillId="0" borderId="7" xfId="0" applyFont="1" applyBorder="1" applyAlignment="1">
      <alignment vertical="top"/>
    </xf>
    <xf numFmtId="164" fontId="5" fillId="0" borderId="7" xfId="0" applyFont="1" applyBorder="1" applyAlignment="1">
      <alignment vertical="top" wrapText="1"/>
    </xf>
    <xf numFmtId="166" fontId="0" fillId="0" borderId="8" xfId="0" applyNumberFormat="1" applyFont="1" applyBorder="1" applyAlignment="1">
      <alignment horizontal="left" vertical="top"/>
    </xf>
    <xf numFmtId="164" fontId="5" fillId="0" borderId="0" xfId="0" applyFont="1" applyAlignment="1">
      <alignment horizontal="right" vertical="top"/>
    </xf>
    <xf numFmtId="168" fontId="8" fillId="0" borderId="0" xfId="0" applyNumberFormat="1" applyFont="1" applyAlignment="1">
      <alignment vertical="top"/>
    </xf>
    <xf numFmtId="168" fontId="0" fillId="0" borderId="0" xfId="0" applyNumberFormat="1" applyFont="1" applyAlignment="1">
      <alignment vertical="top"/>
    </xf>
    <xf numFmtId="169" fontId="0" fillId="0" borderId="0" xfId="0" applyNumberFormat="1" applyFont="1" applyAlignment="1">
      <alignment horizontal="center" vertical="top"/>
    </xf>
    <xf numFmtId="164" fontId="0" fillId="0" borderId="0" xfId="0" applyFont="1" applyAlignment="1">
      <alignment horizontal="right" vertical="top"/>
    </xf>
    <xf numFmtId="164" fontId="0" fillId="0" borderId="0" xfId="0" applyNumberFormat="1" applyFont="1" applyAlignment="1">
      <alignment vertical="top"/>
    </xf>
    <xf numFmtId="164" fontId="0" fillId="0" borderId="0" xfId="0" applyFont="1" applyAlignment="1">
      <alignment vertical="top"/>
    </xf>
    <xf numFmtId="164" fontId="0" fillId="0" borderId="0" xfId="0" applyFont="1" applyAlignment="1">
      <alignment vertical="top" wrapText="1"/>
    </xf>
    <xf numFmtId="166" fontId="0" fillId="0" borderId="0" xfId="0" applyNumberFormat="1" applyFont="1" applyAlignment="1">
      <alignment horizontal="left" vertical="top"/>
    </xf>
    <xf numFmtId="168" fontId="0" fillId="0" borderId="0" xfId="0" applyNumberFormat="1" applyAlignment="1">
      <alignment vertical="top"/>
    </xf>
    <xf numFmtId="169" fontId="0" fillId="0" borderId="0" xfId="0" applyNumberFormat="1" applyAlignment="1">
      <alignment horizontal="center" vertical="top"/>
    </xf>
    <xf numFmtId="164" fontId="9" fillId="0" borderId="0" xfId="0" applyFont="1" applyAlignment="1">
      <alignment horizontal="right" vertical="top"/>
    </xf>
    <xf numFmtId="164" fontId="9" fillId="0" borderId="0" xfId="0" applyFont="1" applyAlignment="1">
      <alignment vertical="top"/>
    </xf>
    <xf numFmtId="164" fontId="9" fillId="0" borderId="0" xfId="0" applyFont="1" applyAlignment="1">
      <alignment vertical="top" wrapText="1"/>
    </xf>
    <xf numFmtId="164" fontId="10" fillId="0" borderId="0" xfId="0" applyFont="1" applyAlignment="1">
      <alignment vertical="top" wrapText="1"/>
    </xf>
    <xf numFmtId="164" fontId="11" fillId="0" borderId="0" xfId="0" applyFont="1" applyAlignment="1">
      <alignment vertical="top"/>
    </xf>
    <xf numFmtId="168" fontId="12" fillId="0" borderId="0" xfId="0" applyNumberFormat="1" applyFont="1" applyAlignment="1">
      <alignment vertical="top"/>
    </xf>
    <xf numFmtId="164" fontId="14" fillId="0" borderId="0" xfId="20" applyNumberFormat="1" applyFont="1" applyFill="1" applyBorder="1" applyAlignment="1" applyProtection="1">
      <alignment vertical="top"/>
      <protection/>
    </xf>
    <xf numFmtId="164" fontId="11" fillId="0" borderId="0" xfId="0" applyFont="1" applyAlignment="1">
      <alignment vertical="top" wrapText="1"/>
    </xf>
    <xf numFmtId="164" fontId="14" fillId="0" borderId="0" xfId="20" applyNumberFormat="1" applyFont="1" applyFill="1" applyBorder="1" applyAlignment="1" applyProtection="1">
      <alignment vertical="top" wrapText="1"/>
      <protection/>
    </xf>
    <xf numFmtId="170" fontId="0" fillId="0" borderId="0" xfId="0" applyNumberFormat="1" applyFont="1" applyAlignment="1">
      <alignment vertical="top" wrapText="1"/>
    </xf>
    <xf numFmtId="164" fontId="15" fillId="0" borderId="0" xfId="0" applyFont="1" applyAlignment="1">
      <alignment vertical="top"/>
    </xf>
    <xf numFmtId="164" fontId="15" fillId="0" borderId="0" xfId="0" applyFont="1" applyBorder="1" applyAlignment="1">
      <alignment horizontal="center" vertical="top"/>
    </xf>
    <xf numFmtId="167" fontId="0" fillId="0" borderId="0" xfId="0" applyNumberFormat="1" applyFont="1" applyAlignment="1">
      <alignment vertical="top"/>
    </xf>
    <xf numFmtId="164" fontId="0" fillId="0" borderId="0" xfId="0" applyFont="1" applyBorder="1" applyAlignment="1">
      <alignment horizontal="center" vertical="top" wrapText="1"/>
    </xf>
    <xf numFmtId="164" fontId="13" fillId="0" borderId="0" xfId="0" applyFont="1" applyAlignment="1">
      <alignment vertical="top"/>
    </xf>
    <xf numFmtId="164" fontId="13" fillId="0" borderId="0" xfId="0" applyFont="1" applyAlignment="1">
      <alignment horizontal="right" vertical="top"/>
    </xf>
    <xf numFmtId="164" fontId="13" fillId="0" borderId="0" xfId="0" applyFont="1" applyAlignment="1">
      <alignment vertical="top" wrapText="1"/>
    </xf>
    <xf numFmtId="164" fontId="16" fillId="0" borderId="0" xfId="20" applyNumberFormat="1" applyFont="1" applyFill="1" applyBorder="1" applyAlignment="1" applyProtection="1">
      <alignment vertical="top"/>
      <protection/>
    </xf>
    <xf numFmtId="164" fontId="15" fillId="0" borderId="0" xfId="0" applyFont="1" applyAlignment="1">
      <alignment horizontal="right" vertical="top"/>
    </xf>
    <xf numFmtId="164" fontId="10" fillId="0" borderId="0" xfId="0" applyFont="1" applyAlignment="1">
      <alignment vertical="top"/>
    </xf>
    <xf numFmtId="164" fontId="17" fillId="0" borderId="0" xfId="0" applyFont="1" applyAlignment="1">
      <alignment vertical="top"/>
    </xf>
    <xf numFmtId="164" fontId="4" fillId="0" borderId="0" xfId="0" applyFont="1" applyAlignment="1">
      <alignment horizontal="right" vertical="top" wrapText="1"/>
    </xf>
    <xf numFmtId="164" fontId="18" fillId="0" borderId="0" xfId="0" applyFont="1" applyAlignment="1">
      <alignment vertical="top" wrapText="1"/>
    </xf>
    <xf numFmtId="164" fontId="19" fillId="0" borderId="0" xfId="20" applyNumberFormat="1" applyFont="1" applyFill="1" applyBorder="1" applyAlignment="1" applyProtection="1">
      <alignment vertical="top" wrapText="1"/>
      <protection/>
    </xf>
    <xf numFmtId="164" fontId="19" fillId="0" borderId="0" xfId="20" applyNumberFormat="1" applyFont="1" applyFill="1" applyBorder="1" applyAlignment="1" applyProtection="1">
      <alignment vertical="top"/>
      <protection/>
    </xf>
    <xf numFmtId="164" fontId="20" fillId="0" borderId="0" xfId="0" applyFont="1" applyAlignment="1">
      <alignment vertical="top"/>
    </xf>
    <xf numFmtId="164" fontId="21" fillId="0" borderId="0" xfId="20" applyNumberFormat="1" applyFont="1" applyFill="1" applyBorder="1" applyAlignment="1" applyProtection="1">
      <alignment vertical="top"/>
      <protection/>
    </xf>
    <xf numFmtId="164" fontId="17" fillId="0" borderId="0" xfId="0" applyFont="1" applyAlignment="1">
      <alignment vertical="top" wrapText="1"/>
    </xf>
    <xf numFmtId="164" fontId="22" fillId="3" borderId="0" xfId="0" applyFont="1" applyFill="1" applyAlignment="1">
      <alignment vertical="top"/>
    </xf>
    <xf numFmtId="164" fontId="0" fillId="3" borderId="0" xfId="0" applyFont="1" applyFill="1" applyAlignment="1">
      <alignment vertical="top"/>
    </xf>
    <xf numFmtId="171" fontId="0" fillId="0" borderId="0" xfId="17" applyFont="1" applyFill="1" applyBorder="1" applyAlignment="1" applyProtection="1">
      <alignment vertical="top"/>
      <protection/>
    </xf>
    <xf numFmtId="164" fontId="0" fillId="0" borderId="0" xfId="0" applyAlignment="1">
      <alignment wrapText="1"/>
    </xf>
    <xf numFmtId="164" fontId="4" fillId="0" borderId="0" xfId="0" applyFont="1" applyAlignment="1">
      <alignment wrapText="1"/>
    </xf>
    <xf numFmtId="164" fontId="0" fillId="0" borderId="0" xfId="0" applyFont="1" applyAlignment="1">
      <alignment wrapText="1"/>
    </xf>
    <xf numFmtId="164" fontId="0" fillId="0" borderId="0" xfId="0" applyAlignment="1">
      <alignment horizontal="left" vertical="top"/>
    </xf>
    <xf numFmtId="164" fontId="4" fillId="0" borderId="0" xfId="0" applyFont="1" applyFill="1" applyAlignment="1">
      <alignment vertical="top"/>
    </xf>
    <xf numFmtId="169" fontId="4" fillId="0" borderId="0" xfId="0" applyNumberFormat="1" applyFont="1" applyFill="1" applyBorder="1" applyAlignment="1">
      <alignment horizontal="left" vertical="center" wrapText="1"/>
    </xf>
    <xf numFmtId="169" fontId="4" fillId="0" borderId="0" xfId="0" applyNumberFormat="1" applyFont="1" applyFill="1" applyBorder="1" applyAlignment="1">
      <alignment horizontal="left" vertical="center"/>
    </xf>
    <xf numFmtId="164" fontId="0" fillId="0" borderId="0" xfId="0" applyFont="1" applyAlignment="1">
      <alignment horizontal="left" vertical="top"/>
    </xf>
    <xf numFmtId="164" fontId="0" fillId="0" borderId="0" xfId="0" applyFont="1" applyAlignment="1">
      <alignment/>
    </xf>
    <xf numFmtId="164" fontId="23" fillId="0" borderId="0" xfId="0" applyFont="1" applyAlignment="1">
      <alignment vertical="top" wrapText="1"/>
    </xf>
    <xf numFmtId="164" fontId="22" fillId="0" borderId="0" xfId="0" applyFont="1" applyAlignment="1">
      <alignment vertical="top" textRotation="90"/>
    </xf>
    <xf numFmtId="164" fontId="24" fillId="0" borderId="0" xfId="0" applyFont="1" applyAlignment="1">
      <alignment horizontal="center" vertical="top"/>
    </xf>
    <xf numFmtId="164" fontId="0" fillId="0" borderId="0" xfId="0" applyAlignment="1">
      <alignment horizontal="center" vertical="top"/>
    </xf>
    <xf numFmtId="164" fontId="15" fillId="0" borderId="0" xfId="0" applyFont="1" applyAlignment="1">
      <alignment vertical="top" textRotation="90"/>
    </xf>
    <xf numFmtId="164" fontId="4" fillId="0" borderId="0" xfId="0" applyFont="1" applyBorder="1" applyAlignment="1">
      <alignment horizontal="center" vertical="top"/>
    </xf>
    <xf numFmtId="164" fontId="25" fillId="0" borderId="0" xfId="0" applyFont="1" applyAlignment="1">
      <alignment horizontal="center" vertical="top"/>
    </xf>
    <xf numFmtId="164" fontId="4" fillId="0" borderId="0" xfId="0" applyFont="1" applyAlignment="1">
      <alignment horizontal="center" vertical="top"/>
    </xf>
    <xf numFmtId="164" fontId="4" fillId="0" borderId="0" xfId="0" applyFont="1" applyBorder="1" applyAlignment="1">
      <alignment horizontal="center" vertical="top" wrapText="1"/>
    </xf>
    <xf numFmtId="164" fontId="13" fillId="4" borderId="0" xfId="0" applyFont="1" applyFill="1" applyAlignment="1">
      <alignment vertical="top"/>
    </xf>
    <xf numFmtId="164" fontId="4" fillId="0" borderId="0" xfId="0" applyFont="1" applyAlignment="1">
      <alignment horizontal="left" vertical="top"/>
    </xf>
    <xf numFmtId="164" fontId="4" fillId="0" borderId="0" xfId="0" applyFont="1" applyAlignment="1">
      <alignment horizontal="center" vertical="top" textRotation="90"/>
    </xf>
    <xf numFmtId="164" fontId="4" fillId="0" borderId="0" xfId="0" applyFont="1" applyAlignment="1">
      <alignment vertical="top" textRotation="90" wrapText="1"/>
    </xf>
    <xf numFmtId="173" fontId="0" fillId="0" borderId="0" xfId="15" applyNumberFormat="1" applyFont="1" applyFill="1" applyBorder="1" applyAlignment="1" applyProtection="1">
      <alignment vertical="top"/>
      <protection/>
    </xf>
    <xf numFmtId="173" fontId="0" fillId="0" borderId="0" xfId="0" applyNumberFormat="1" applyAlignment="1">
      <alignment horizontal="left" vertical="top"/>
    </xf>
    <xf numFmtId="173" fontId="0" fillId="0" borderId="0" xfId="0" applyNumberFormat="1" applyFont="1" applyAlignment="1">
      <alignment horizontal="center" vertical="top"/>
    </xf>
    <xf numFmtId="164" fontId="13" fillId="0" borderId="9" xfId="0" applyFont="1" applyBorder="1" applyAlignment="1">
      <alignment vertical="top" wrapText="1"/>
    </xf>
    <xf numFmtId="164" fontId="13" fillId="0" borderId="10" xfId="0" applyFont="1" applyBorder="1" applyAlignment="1">
      <alignment vertical="top" wrapText="1"/>
    </xf>
    <xf numFmtId="164" fontId="13" fillId="0" borderId="11" xfId="0" applyFont="1" applyBorder="1" applyAlignment="1">
      <alignment vertical="top" wrapText="1"/>
    </xf>
    <xf numFmtId="164" fontId="0" fillId="0" borderId="0" xfId="0" applyFont="1" applyFill="1" applyAlignment="1">
      <alignment vertical="top"/>
    </xf>
    <xf numFmtId="173" fontId="9" fillId="0" borderId="0" xfId="15" applyNumberFormat="1" applyFont="1" applyFill="1" applyBorder="1" applyAlignment="1" applyProtection="1">
      <alignment vertical="top"/>
      <protection/>
    </xf>
    <xf numFmtId="173" fontId="9" fillId="0" borderId="0" xfId="0" applyNumberFormat="1" applyFont="1" applyAlignment="1">
      <alignment horizontal="left" vertical="top"/>
    </xf>
    <xf numFmtId="173" fontId="9" fillId="0" borderId="0" xfId="0" applyNumberFormat="1" applyFont="1" applyAlignment="1">
      <alignment horizontal="center" vertical="top"/>
    </xf>
    <xf numFmtId="164" fontId="9" fillId="0" borderId="0" xfId="0" applyFont="1" applyAlignment="1">
      <alignment horizontal="center" vertical="top"/>
    </xf>
    <xf numFmtId="164" fontId="15" fillId="0" borderId="0" xfId="0" applyFont="1" applyAlignment="1">
      <alignment/>
    </xf>
    <xf numFmtId="164" fontId="0" fillId="0" borderId="0" xfId="0" applyAlignment="1">
      <alignment/>
    </xf>
    <xf numFmtId="164" fontId="0" fillId="0" borderId="0" xfId="0" applyFont="1" applyAlignment="1">
      <alignment horizontal="right"/>
    </xf>
    <xf numFmtId="164" fontId="11" fillId="0" borderId="0" xfId="0" applyFont="1" applyAlignment="1">
      <alignment horizontal="right"/>
    </xf>
    <xf numFmtId="164" fontId="11" fillId="0" borderId="0" xfId="0" applyFont="1" applyAlignment="1">
      <alignment horizontal="left"/>
    </xf>
    <xf numFmtId="164" fontId="26" fillId="0" borderId="0" xfId="0" applyFont="1" applyAlignment="1">
      <alignment vertical="top"/>
    </xf>
    <xf numFmtId="164" fontId="10" fillId="0" borderId="0" xfId="0" applyFont="1" applyAlignment="1">
      <alignment textRotation="90"/>
    </xf>
    <xf numFmtId="164" fontId="10" fillId="0" borderId="0" xfId="0" applyFont="1" applyAlignment="1">
      <alignment/>
    </xf>
    <xf numFmtId="173" fontId="17" fillId="0" borderId="0" xfId="15" applyNumberFormat="1" applyFont="1" applyFill="1" applyBorder="1" applyAlignment="1" applyProtection="1">
      <alignment vertical="top"/>
      <protection/>
    </xf>
    <xf numFmtId="173" fontId="17" fillId="0" borderId="0" xfId="0" applyNumberFormat="1" applyFont="1" applyAlignment="1">
      <alignment horizontal="left" vertical="top"/>
    </xf>
    <xf numFmtId="173" fontId="0" fillId="0" borderId="0" xfId="0" applyNumberFormat="1" applyAlignment="1">
      <alignment/>
    </xf>
    <xf numFmtId="173" fontId="0" fillId="2" borderId="0" xfId="0" applyNumberFormat="1" applyFill="1" applyAlignment="1">
      <alignment/>
    </xf>
    <xf numFmtId="164" fontId="0" fillId="2" borderId="0" xfId="0" applyFill="1" applyAlignment="1">
      <alignment vertical="top"/>
    </xf>
    <xf numFmtId="173" fontId="0" fillId="0" borderId="0" xfId="0" applyNumberFormat="1" applyFill="1" applyAlignment="1">
      <alignment/>
    </xf>
    <xf numFmtId="164" fontId="0" fillId="0" borderId="0" xfId="0" applyFont="1" applyAlignment="1">
      <alignment horizontal="right" textRotation="90"/>
    </xf>
    <xf numFmtId="173" fontId="17" fillId="0" borderId="0" xfId="15" applyNumberFormat="1" applyFont="1" applyFill="1" applyBorder="1" applyAlignment="1" applyProtection="1">
      <alignment vertical="top" textRotation="90"/>
      <protection/>
    </xf>
    <xf numFmtId="164" fontId="0" fillId="0" borderId="0" xfId="0" applyFont="1" applyAlignment="1">
      <alignment horizontal="right" vertical="top" textRotation="90"/>
    </xf>
    <xf numFmtId="164" fontId="0" fillId="0" borderId="0" xfId="0" applyAlignment="1">
      <alignment horizontal="left"/>
    </xf>
    <xf numFmtId="164" fontId="4" fillId="0" borderId="0" xfId="0" applyFont="1" applyAlignment="1">
      <alignment/>
    </xf>
    <xf numFmtId="164" fontId="4" fillId="0" borderId="0" xfId="0" applyFont="1" applyAlignment="1">
      <alignment horizontal="right"/>
    </xf>
    <xf numFmtId="164" fontId="4" fillId="0" borderId="0" xfId="0" applyFont="1" applyAlignment="1">
      <alignment horizontal="left"/>
    </xf>
    <xf numFmtId="173" fontId="0" fillId="0" borderId="0" xfId="0" applyNumberFormat="1" applyAlignment="1">
      <alignment horizontal="left"/>
    </xf>
    <xf numFmtId="173" fontId="17" fillId="0" borderId="0" xfId="0" applyNumberFormat="1" applyFont="1" applyAlignment="1">
      <alignment/>
    </xf>
    <xf numFmtId="173" fontId="17" fillId="0" borderId="0" xfId="0" applyNumberFormat="1" applyFont="1" applyAlignment="1">
      <alignment horizontal="left"/>
    </xf>
    <xf numFmtId="164" fontId="18" fillId="0" borderId="0" xfId="0" applyFont="1" applyAlignment="1">
      <alignment horizontal="right"/>
    </xf>
    <xf numFmtId="164" fontId="18" fillId="0" borderId="0" xfId="0" applyFont="1" applyAlignment="1">
      <alignment horizontal="left"/>
    </xf>
    <xf numFmtId="164" fontId="17" fillId="0" borderId="0" xfId="0" applyFont="1" applyAlignment="1">
      <alignment/>
    </xf>
    <xf numFmtId="174" fontId="17" fillId="0" borderId="0" xfId="0" applyNumberFormat="1" applyFont="1" applyAlignment="1">
      <alignment/>
    </xf>
    <xf numFmtId="174" fontId="17" fillId="0" borderId="0" xfId="0" applyNumberFormat="1" applyFont="1" applyAlignment="1">
      <alignment horizontal="left"/>
    </xf>
    <xf numFmtId="173" fontId="17" fillId="0" borderId="1" xfId="0" applyNumberFormat="1" applyFont="1" applyBorder="1" applyAlignment="1">
      <alignment/>
    </xf>
    <xf numFmtId="173" fontId="17" fillId="0" borderId="3" xfId="0" applyNumberFormat="1" applyFont="1" applyBorder="1" applyAlignment="1">
      <alignment horizontal="left"/>
    </xf>
    <xf numFmtId="173" fontId="17" fillId="0" borderId="6" xfId="0" applyNumberFormat="1" applyFont="1" applyBorder="1" applyAlignment="1">
      <alignment/>
    </xf>
    <xf numFmtId="173" fontId="17" fillId="0" borderId="8" xfId="0" applyNumberFormat="1" applyFont="1" applyBorder="1" applyAlignment="1">
      <alignment horizontal="left"/>
    </xf>
    <xf numFmtId="173" fontId="12" fillId="0" borderId="0" xfId="0" applyNumberFormat="1" applyFont="1" applyAlignment="1">
      <alignment/>
    </xf>
    <xf numFmtId="173" fontId="12" fillId="0" borderId="0" xfId="0" applyNumberFormat="1" applyFont="1" applyAlignment="1">
      <alignment horizontal="left"/>
    </xf>
    <xf numFmtId="175" fontId="0" fillId="0" borderId="0" xfId="0" applyNumberFormat="1" applyAlignment="1">
      <alignment/>
    </xf>
    <xf numFmtId="164" fontId="13" fillId="0" borderId="0" xfId="0" applyFont="1" applyAlignment="1">
      <alignment/>
    </xf>
    <xf numFmtId="164" fontId="14" fillId="0" borderId="0" xfId="20" applyNumberFormat="1" applyFont="1" applyFill="1" applyBorder="1" applyAlignment="1" applyProtection="1">
      <alignment/>
      <protection/>
    </xf>
    <xf numFmtId="164" fontId="0" fillId="0" borderId="12" xfId="0" applyBorder="1" applyAlignment="1">
      <alignment vertical="top"/>
    </xf>
    <xf numFmtId="164" fontId="4" fillId="0" borderId="13" xfId="0" applyFont="1" applyBorder="1" applyAlignment="1">
      <alignment horizontal="right" vertical="top"/>
    </xf>
    <xf numFmtId="164" fontId="0" fillId="0" borderId="13" xfId="0" applyBorder="1" applyAlignment="1">
      <alignment vertical="top"/>
    </xf>
    <xf numFmtId="164" fontId="0" fillId="0" borderId="13" xfId="0" applyFont="1" applyBorder="1" applyAlignment="1">
      <alignment vertical="top" wrapText="1"/>
    </xf>
    <xf numFmtId="164" fontId="10" fillId="0" borderId="13" xfId="0" applyFont="1" applyBorder="1" applyAlignment="1">
      <alignment vertical="top" wrapText="1"/>
    </xf>
    <xf numFmtId="164" fontId="0" fillId="0" borderId="14" xfId="0" applyFont="1" applyBorder="1" applyAlignment="1">
      <alignment vertical="top"/>
    </xf>
    <xf numFmtId="164" fontId="0" fillId="0" borderId="0" xfId="0" applyBorder="1" applyAlignment="1">
      <alignment vertical="top"/>
    </xf>
    <xf numFmtId="164" fontId="0" fillId="0" borderId="0" xfId="0" applyAlignment="1">
      <alignment textRotation="90"/>
    </xf>
    <xf numFmtId="164" fontId="0" fillId="0" borderId="13" xfId="0" applyFont="1" applyBorder="1" applyAlignment="1">
      <alignment horizontal="right" vertical="top"/>
    </xf>
    <xf numFmtId="164" fontId="0" fillId="0" borderId="13" xfId="0" applyBorder="1" applyAlignment="1">
      <alignment vertical="top" textRotation="90"/>
    </xf>
    <xf numFmtId="164" fontId="0" fillId="0" borderId="14" xfId="0" applyBorder="1" applyAlignment="1">
      <alignment vertical="top" textRotation="90"/>
    </xf>
    <xf numFmtId="164" fontId="0" fillId="0" borderId="1" xfId="0" applyBorder="1" applyAlignment="1">
      <alignment vertical="top"/>
    </xf>
    <xf numFmtId="164" fontId="0" fillId="0" borderId="2" xfId="0" applyBorder="1" applyAlignment="1">
      <alignment vertical="top"/>
    </xf>
    <xf numFmtId="164" fontId="0" fillId="0" borderId="3" xfId="0" applyBorder="1" applyAlignment="1">
      <alignment vertical="top"/>
    </xf>
    <xf numFmtId="164" fontId="4" fillId="0" borderId="0" xfId="0" applyFont="1" applyAlignment="1">
      <alignment horizontal="left" vertical="top" textRotation="90" wrapText="1"/>
    </xf>
    <xf numFmtId="164" fontId="0" fillId="0" borderId="0" xfId="0" applyFont="1" applyAlignment="1">
      <alignment horizontal="right" vertical="top" textRotation="90" wrapText="1"/>
    </xf>
    <xf numFmtId="164" fontId="11" fillId="0" borderId="0" xfId="0" applyFont="1" applyAlignment="1">
      <alignment vertical="top" textRotation="90" wrapText="1"/>
    </xf>
    <xf numFmtId="164" fontId="9" fillId="0" borderId="0" xfId="0" applyFont="1" applyAlignment="1">
      <alignment horizontal="right" vertical="top" textRotation="90" wrapText="1"/>
    </xf>
    <xf numFmtId="164" fontId="0" fillId="0" borderId="6" xfId="0" applyFont="1" applyBorder="1" applyAlignment="1">
      <alignment horizontal="right" vertical="top" textRotation="90"/>
    </xf>
    <xf numFmtId="164" fontId="0" fillId="0" borderId="7" xfId="0" applyFont="1" applyBorder="1" applyAlignment="1">
      <alignment horizontal="right" vertical="top" textRotation="90"/>
    </xf>
    <xf numFmtId="164" fontId="0" fillId="0" borderId="8" xfId="0" applyFont="1" applyBorder="1" applyAlignment="1">
      <alignment horizontal="right" vertical="top" textRotation="90"/>
    </xf>
    <xf numFmtId="164" fontId="4" fillId="0" borderId="0" xfId="0" applyFont="1" applyBorder="1" applyAlignment="1">
      <alignment vertical="top" textRotation="90" wrapText="1"/>
    </xf>
    <xf numFmtId="164" fontId="0" fillId="0" borderId="0" xfId="0" applyFont="1" applyBorder="1" applyAlignment="1">
      <alignment vertical="top" textRotation="90" wrapText="1"/>
    </xf>
    <xf numFmtId="169" fontId="8" fillId="2" borderId="0" xfId="0" applyNumberFormat="1" applyFont="1" applyFill="1" applyBorder="1" applyAlignment="1">
      <alignment horizontal="center" vertical="top" textRotation="90" wrapText="1"/>
    </xf>
    <xf numFmtId="169" fontId="8" fillId="2" borderId="0" xfId="0" applyNumberFormat="1" applyFont="1" applyFill="1" applyBorder="1" applyAlignment="1">
      <alignment horizontal="left" vertical="center" wrapText="1"/>
    </xf>
    <xf numFmtId="164" fontId="28" fillId="0" borderId="0" xfId="20" applyNumberFormat="1" applyFont="1" applyFill="1" applyBorder="1" applyAlignment="1" applyProtection="1">
      <alignment vertical="top" wrapText="1"/>
      <protection/>
    </xf>
    <xf numFmtId="176" fontId="0" fillId="0" borderId="0" xfId="0" applyNumberFormat="1" applyAlignment="1">
      <alignment vertical="top"/>
    </xf>
    <xf numFmtId="164" fontId="29" fillId="0" borderId="0" xfId="0" applyFont="1" applyAlignment="1">
      <alignment vertical="top" wrapText="1"/>
    </xf>
    <xf numFmtId="164" fontId="0" fillId="3" borderId="0" xfId="0" applyFill="1" applyAlignment="1">
      <alignment horizontal="center" vertical="top"/>
    </xf>
    <xf numFmtId="164" fontId="30" fillId="0" borderId="0" xfId="20" applyNumberFormat="1" applyFont="1" applyFill="1" applyBorder="1" applyAlignment="1" applyProtection="1">
      <alignment vertical="top" wrapText="1"/>
      <protection/>
    </xf>
    <xf numFmtId="164" fontId="31" fillId="0" borderId="0" xfId="0" applyFont="1" applyFill="1" applyBorder="1" applyAlignment="1">
      <alignment vertical="top"/>
    </xf>
    <xf numFmtId="164" fontId="31" fillId="0" borderId="0" xfId="0" applyFont="1" applyFill="1" applyBorder="1" applyAlignment="1">
      <alignment vertical="top" wrapText="1"/>
    </xf>
    <xf numFmtId="164" fontId="9" fillId="0" borderId="0" xfId="0" applyFont="1" applyAlignment="1">
      <alignment horizontal="left" vertical="top"/>
    </xf>
    <xf numFmtId="176" fontId="9" fillId="0" borderId="0" xfId="0" applyNumberFormat="1" applyFont="1" applyAlignment="1">
      <alignment vertical="top"/>
    </xf>
    <xf numFmtId="164" fontId="12" fillId="0" borderId="0" xfId="0" applyFont="1" applyAlignment="1">
      <alignment vertical="top"/>
    </xf>
    <xf numFmtId="164" fontId="32" fillId="0" borderId="0" xfId="0" applyFont="1" applyAlignment="1">
      <alignment vertical="top" wrapText="1"/>
    </xf>
    <xf numFmtId="164" fontId="9" fillId="3" borderId="0" xfId="0" applyFont="1" applyFill="1" applyAlignment="1">
      <alignment vertical="top"/>
    </xf>
    <xf numFmtId="164" fontId="12" fillId="0" borderId="0" xfId="0" applyFont="1" applyAlignment="1">
      <alignment horizontal="center" vertical="top"/>
    </xf>
    <xf numFmtId="164" fontId="33" fillId="0" borderId="0" xfId="0" applyFont="1" applyAlignment="1">
      <alignment vertical="top"/>
    </xf>
    <xf numFmtId="164" fontId="34" fillId="0" borderId="0" xfId="0" applyFont="1" applyAlignment="1">
      <alignment vertical="top" wrapText="1"/>
    </xf>
    <xf numFmtId="164" fontId="35" fillId="0" borderId="0" xfId="0" applyFont="1" applyAlignment="1">
      <alignment vertical="top" wrapText="1"/>
    </xf>
    <xf numFmtId="164" fontId="36" fillId="0" borderId="0" xfId="0" applyFont="1" applyAlignment="1">
      <alignment vertical="top" wrapText="1"/>
    </xf>
    <xf numFmtId="164" fontId="15" fillId="0" borderId="0" xfId="0" applyFont="1" applyAlignment="1">
      <alignment horizontal="center" vertical="top"/>
    </xf>
    <xf numFmtId="164" fontId="22" fillId="0" borderId="0" xfId="0" applyFont="1" applyAlignment="1">
      <alignment horizontal="center" vertical="top"/>
    </xf>
    <xf numFmtId="164" fontId="37" fillId="0" borderId="0" xfId="0" applyFont="1" applyAlignment="1">
      <alignment vertical="top" wrapText="1"/>
    </xf>
    <xf numFmtId="164" fontId="38" fillId="0" borderId="0" xfId="0" applyFont="1" applyAlignment="1">
      <alignment vertical="top" wrapText="1"/>
    </xf>
    <xf numFmtId="164" fontId="38" fillId="0" borderId="0" xfId="0" applyFont="1" applyAlignment="1">
      <alignment vertical="top"/>
    </xf>
    <xf numFmtId="164" fontId="39" fillId="0" borderId="0" xfId="0" applyFont="1" applyAlignment="1">
      <alignment vertical="top" wrapText="1"/>
    </xf>
    <xf numFmtId="164" fontId="40" fillId="0" borderId="0" xfId="0" applyFont="1" applyAlignment="1">
      <alignment vertical="top" wrapText="1"/>
    </xf>
    <xf numFmtId="164" fontId="38" fillId="0" borderId="0" xfId="0" applyFont="1" applyAlignment="1">
      <alignment horizontal="left" vertical="top"/>
    </xf>
    <xf numFmtId="176" fontId="38" fillId="0" borderId="0" xfId="0" applyNumberFormat="1" applyFont="1" applyAlignment="1">
      <alignment vertical="top"/>
    </xf>
    <xf numFmtId="164" fontId="41" fillId="0" borderId="0" xfId="0" applyFont="1" applyAlignment="1">
      <alignment vertical="top"/>
    </xf>
    <xf numFmtId="164" fontId="42" fillId="0" borderId="0" xfId="0" applyFont="1" applyAlignment="1">
      <alignment vertical="top"/>
    </xf>
    <xf numFmtId="164" fontId="42" fillId="0" borderId="0" xfId="0" applyFont="1" applyAlignment="1">
      <alignment horizontal="center" vertical="top"/>
    </xf>
    <xf numFmtId="164" fontId="38" fillId="0" borderId="0" xfId="0" applyFont="1" applyAlignment="1">
      <alignment horizontal="center" vertical="top"/>
    </xf>
    <xf numFmtId="164" fontId="43" fillId="0" borderId="0" xfId="0" applyFont="1" applyAlignment="1">
      <alignment vertical="top" wrapText="1"/>
    </xf>
    <xf numFmtId="164" fontId="0" fillId="0" borderId="3" xfId="0" applyFont="1" applyBorder="1" applyAlignment="1">
      <alignment horizontal="right" vertical="top"/>
    </xf>
    <xf numFmtId="177" fontId="10" fillId="0" borderId="1" xfId="0" applyNumberFormat="1" applyFont="1" applyBorder="1" applyAlignment="1">
      <alignment vertical="top" wrapText="1"/>
    </xf>
    <xf numFmtId="164" fontId="15" fillId="0" borderId="2" xfId="0" applyFont="1" applyBorder="1" applyAlignment="1">
      <alignment vertical="top"/>
    </xf>
    <xf numFmtId="164" fontId="0" fillId="0" borderId="9" xfId="0" applyFont="1" applyBorder="1" applyAlignment="1">
      <alignment horizontal="left" vertical="top"/>
    </xf>
    <xf numFmtId="164" fontId="0" fillId="0" borderId="0" xfId="0" applyBorder="1" applyAlignment="1">
      <alignment horizontal="center" vertical="top"/>
    </xf>
    <xf numFmtId="164" fontId="4" fillId="3" borderId="1" xfId="0" applyFont="1" applyFill="1" applyBorder="1" applyAlignment="1">
      <alignment vertical="top"/>
    </xf>
    <xf numFmtId="164" fontId="4" fillId="3" borderId="2" xfId="0" applyFont="1" applyFill="1" applyBorder="1" applyAlignment="1">
      <alignment vertical="top"/>
    </xf>
    <xf numFmtId="164" fontId="0" fillId="3" borderId="2" xfId="0" applyFill="1" applyBorder="1" applyAlignment="1">
      <alignment vertical="top"/>
    </xf>
    <xf numFmtId="164" fontId="0" fillId="3" borderId="3" xfId="0" applyFill="1" applyBorder="1" applyAlignment="1">
      <alignment vertical="top"/>
    </xf>
    <xf numFmtId="164" fontId="0" fillId="0" borderId="4" xfId="0" applyBorder="1" applyAlignment="1">
      <alignment vertical="top"/>
    </xf>
    <xf numFmtId="164" fontId="0" fillId="0" borderId="5" xfId="0" applyFont="1" applyBorder="1" applyAlignment="1">
      <alignment horizontal="right" vertical="top"/>
    </xf>
    <xf numFmtId="177" fontId="10" fillId="0" borderId="4" xfId="0" applyNumberFormat="1" applyFont="1" applyBorder="1" applyAlignment="1">
      <alignment vertical="top" wrapText="1"/>
    </xf>
    <xf numFmtId="164" fontId="15" fillId="0" borderId="0" xfId="0" applyFont="1" applyBorder="1" applyAlignment="1">
      <alignment vertical="top"/>
    </xf>
    <xf numFmtId="164" fontId="0" fillId="0" borderId="10" xfId="0" applyFont="1" applyBorder="1" applyAlignment="1">
      <alignment horizontal="left" vertical="top"/>
    </xf>
    <xf numFmtId="164" fontId="4" fillId="3" borderId="4" xfId="0" applyFont="1" applyFill="1" applyBorder="1" applyAlignment="1">
      <alignment vertical="top"/>
    </xf>
    <xf numFmtId="164" fontId="4" fillId="3" borderId="0" xfId="0" applyFont="1" applyFill="1" applyBorder="1" applyAlignment="1">
      <alignment vertical="top"/>
    </xf>
    <xf numFmtId="164" fontId="0" fillId="3" borderId="0" xfId="0" applyFill="1" applyBorder="1" applyAlignment="1">
      <alignment vertical="top"/>
    </xf>
    <xf numFmtId="164" fontId="0" fillId="3" borderId="5" xfId="0" applyFill="1" applyBorder="1" applyAlignment="1">
      <alignment vertical="top"/>
    </xf>
    <xf numFmtId="177" fontId="10" fillId="0" borderId="6" xfId="0" applyNumberFormat="1" applyFont="1" applyBorder="1" applyAlignment="1">
      <alignment vertical="top" wrapText="1"/>
    </xf>
    <xf numFmtId="164" fontId="15" fillId="0" borderId="7" xfId="0" applyFont="1" applyBorder="1" applyAlignment="1">
      <alignment vertical="top"/>
    </xf>
    <xf numFmtId="164" fontId="0" fillId="0" borderId="11" xfId="0" applyFont="1" applyBorder="1" applyAlignment="1">
      <alignment horizontal="left" vertical="top"/>
    </xf>
    <xf numFmtId="164" fontId="4" fillId="3" borderId="6" xfId="0" applyFont="1" applyFill="1" applyBorder="1" applyAlignment="1">
      <alignment vertical="top"/>
    </xf>
    <xf numFmtId="164" fontId="4" fillId="3" borderId="7" xfId="0" applyFont="1" applyFill="1" applyBorder="1" applyAlignment="1">
      <alignment vertical="top"/>
    </xf>
    <xf numFmtId="164" fontId="0" fillId="3" borderId="7" xfId="0" applyFill="1" applyBorder="1" applyAlignment="1">
      <alignment vertical="top"/>
    </xf>
    <xf numFmtId="164" fontId="0" fillId="3" borderId="8" xfId="0" applyFill="1" applyBorder="1" applyAlignment="1">
      <alignment vertical="top"/>
    </xf>
    <xf numFmtId="178" fontId="10" fillId="0" borderId="6" xfId="0" applyNumberFormat="1" applyFont="1" applyBorder="1" applyAlignment="1">
      <alignment vertical="top" wrapText="1"/>
    </xf>
    <xf numFmtId="164" fontId="4" fillId="0" borderId="14" xfId="0" applyFont="1" applyBorder="1" applyAlignment="1">
      <alignment vertical="top"/>
    </xf>
    <xf numFmtId="164" fontId="0" fillId="0" borderId="6" xfId="0" applyBorder="1" applyAlignment="1">
      <alignment vertical="top"/>
    </xf>
    <xf numFmtId="164" fontId="0" fillId="0" borderId="7" xfId="0" applyBorder="1" applyAlignment="1">
      <alignment vertical="top"/>
    </xf>
    <xf numFmtId="164" fontId="0" fillId="0" borderId="8" xfId="0" applyFont="1" applyBorder="1" applyAlignment="1">
      <alignment horizontal="right" vertical="top"/>
    </xf>
    <xf numFmtId="168" fontId="0" fillId="0" borderId="0" xfId="0" applyNumberFormat="1" applyBorder="1" applyAlignment="1">
      <alignment horizontal="center" vertical="top"/>
    </xf>
    <xf numFmtId="164" fontId="0" fillId="0" borderId="0" xfId="0" applyNumberFormat="1" applyAlignment="1">
      <alignment/>
    </xf>
    <xf numFmtId="179" fontId="0" fillId="0" borderId="0" xfId="0" applyNumberFormat="1" applyAlignment="1">
      <alignment/>
    </xf>
    <xf numFmtId="180" fontId="0" fillId="0" borderId="0" xfId="0" applyNumberFormat="1" applyAlignment="1">
      <alignment/>
    </xf>
    <xf numFmtId="174" fontId="0" fillId="0" borderId="0" xfId="0" applyNumberFormat="1" applyAlignment="1">
      <alignment/>
    </xf>
    <xf numFmtId="181" fontId="0" fillId="0" borderId="0" xfId="0" applyNumberFormat="1" applyAlignment="1">
      <alignment vertical="top"/>
    </xf>
    <xf numFmtId="181" fontId="4" fillId="0" borderId="0" xfId="0" applyNumberFormat="1" applyFont="1" applyAlignment="1">
      <alignment vertical="top"/>
    </xf>
    <xf numFmtId="175" fontId="0" fillId="0" borderId="0" xfId="0" applyNumberFormat="1" applyFont="1" applyAlignment="1">
      <alignment vertical="top" wrapText="1"/>
    </xf>
    <xf numFmtId="164" fontId="0" fillId="0" borderId="0" xfId="0" applyFont="1" applyAlignment="1">
      <alignment horizontal="left"/>
    </xf>
    <xf numFmtId="182" fontId="0" fillId="0" borderId="0" xfId="0" applyNumberFormat="1" applyFont="1" applyAlignment="1">
      <alignment/>
    </xf>
    <xf numFmtId="164" fontId="0" fillId="0" borderId="0" xfId="0" applyFont="1" applyAlignment="1">
      <alignment horizontal="center"/>
    </xf>
    <xf numFmtId="182" fontId="4" fillId="0" borderId="0" xfId="0" applyNumberFormat="1" applyFont="1" applyAlignment="1">
      <alignment horizontal="right"/>
    </xf>
    <xf numFmtId="164" fontId="4" fillId="0" borderId="0" xfId="0" applyFont="1" applyAlignment="1">
      <alignment horizontal="center"/>
    </xf>
  </cellXfs>
  <cellStyles count="7">
    <cellStyle name="Normal" xfId="0"/>
    <cellStyle name="Comma" xfId="15"/>
    <cellStyle name="Comma [0]" xfId="16"/>
    <cellStyle name="Currency" xfId="17"/>
    <cellStyle name="Currency [0]" xfId="18"/>
    <cellStyle name="Percent" xfId="19"/>
    <cellStyle name="Hyperlink" xfId="20"/>
  </cellStyles>
  <dxfs count="3">
    <dxf>
      <fill>
        <patternFill patternType="solid">
          <fgColor rgb="FFCCFFCC"/>
          <bgColor rgb="FFFFFF99"/>
        </patternFill>
      </fill>
      <border/>
    </dxf>
    <dxf>
      <fill>
        <patternFill patternType="solid">
          <fgColor rgb="FF99CCFF"/>
          <bgColor rgb="FF69FFFF"/>
        </patternFill>
      </fill>
      <border/>
    </dxf>
    <dxf>
      <fill>
        <patternFill patternType="solid">
          <fgColor rgb="FFFF00FF"/>
          <bgColor rgb="FFFF00FF"/>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6B4794"/>
      <rgbColor rgb="00FFF0FF"/>
      <rgbColor rgb="00CCFFFF"/>
      <rgbColor rgb="00660066"/>
      <rgbColor rgb="00FF9966"/>
      <rgbColor rgb="000066CC"/>
      <rgbColor rgb="00CCCCFF"/>
      <rgbColor rgb="00280099"/>
      <rgbColor rgb="00FF00FF"/>
      <rgbColor rgb="00E6E64C"/>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69FFFF"/>
      <rgbColor rgb="0099CC00"/>
      <rgbColor rgb="00FFCC00"/>
      <rgbColor rgb="00FF9900"/>
      <rgbColor rgb="00FF6F00"/>
      <rgbColor rgb="00666666"/>
      <rgbColor rgb="007DA647"/>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strRef>
              <c:f>'Busking Plot'!$A$2</c:f>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FFFFFF"/>
              </a:solidFill>
              <a:ln>
                <a:solidFill>
                  <a:srgbClr val="000000"/>
                </a:solidFill>
              </a:ln>
            </c:spPr>
          </c:marker>
          <c:dPt>
            <c:idx val="0"/>
            <c:spPr>
              <a:noFill/>
              <a:ln w="3175">
                <a:noFill/>
              </a:ln>
            </c:spPr>
            <c:marker>
              <c:size val="6"/>
              <c:spPr>
                <a:solidFill>
                  <a:srgbClr val="000000"/>
                </a:solidFill>
                <a:ln>
                  <a:solidFill>
                    <a:srgbClr val="000000"/>
                  </a:solidFill>
                </a:ln>
              </c:spPr>
            </c:marker>
          </c:dPt>
          <c:dLbls>
            <c:numFmt formatCode="General" sourceLinked="1"/>
            <c:txPr>
              <a:bodyPr vert="horz" rot="0" anchor="ctr"/>
              <a:lstStyle/>
              <a:p>
                <a:pPr algn="ctr">
                  <a:defRPr lang="en-US" cap="none" sz="1360" b="0" i="0" u="none" baseline="0"/>
                </a:pPr>
              </a:p>
            </c:txPr>
            <c:dLblPos val="t"/>
            <c:showLegendKey val="0"/>
            <c:showVal val="0"/>
            <c:showBubbleSize val="0"/>
            <c:showCatName val="0"/>
            <c:showSerName val="0"/>
            <c:showLeaderLines val="1"/>
            <c:showPercent val="0"/>
          </c:dLbls>
          <c:val>
            <c:numRef>
              <c:f>'Busking Plot'!$E$2</c:f>
              <c:numCache/>
            </c:numRef>
          </c:val>
          <c:smooth val="0"/>
        </c:ser>
        <c:ser>
          <c:idx val="1"/>
          <c:order val="1"/>
          <c:tx>
            <c:strRef>
              <c:f>'Busking Plot'!$A$3</c:f>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FFFFFF"/>
              </a:solidFill>
              <a:ln>
                <a:solidFill>
                  <a:srgbClr val="000000"/>
                </a:solidFill>
              </a:ln>
            </c:spPr>
          </c:marker>
          <c:dLbls>
            <c:numFmt formatCode="General" sourceLinked="1"/>
            <c:txPr>
              <a:bodyPr vert="horz" rot="0" anchor="ctr"/>
              <a:lstStyle/>
              <a:p>
                <a:pPr algn="ctr">
                  <a:defRPr lang="en-US" cap="none" sz="1360" b="0" i="0" u="none" baseline="0"/>
                </a:pPr>
              </a:p>
            </c:txPr>
            <c:dLblPos val="t"/>
            <c:showLegendKey val="0"/>
            <c:showVal val="0"/>
            <c:showBubbleSize val="0"/>
            <c:showCatName val="0"/>
            <c:showSerName val="0"/>
            <c:showLeaderLines val="1"/>
            <c:showPercent val="0"/>
          </c:dLbls>
          <c:val>
            <c:numRef>
              <c:f>'Busking Plot'!$E$3</c:f>
              <c:numCache/>
            </c:numRef>
          </c:val>
          <c:smooth val="0"/>
        </c:ser>
        <c:ser>
          <c:idx val="2"/>
          <c:order val="2"/>
          <c:tx>
            <c:strRef>
              <c:f>'Busking Plot'!$A$4</c:f>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FFFF"/>
              </a:solidFill>
              <a:ln>
                <a:solidFill>
                  <a:srgbClr val="000000"/>
                </a:solidFill>
              </a:ln>
            </c:spPr>
          </c:marker>
          <c:dLbls>
            <c:numFmt formatCode="General" sourceLinked="1"/>
            <c:txPr>
              <a:bodyPr vert="horz" rot="0" anchor="ctr"/>
              <a:lstStyle/>
              <a:p>
                <a:pPr algn="ctr">
                  <a:defRPr lang="en-US" cap="none" sz="1360" b="0" i="0" u="none" baseline="0"/>
                </a:pPr>
              </a:p>
            </c:txPr>
            <c:dLblPos val="t"/>
            <c:showLegendKey val="0"/>
            <c:showVal val="0"/>
            <c:showBubbleSize val="0"/>
            <c:showCatName val="0"/>
            <c:showSerName val="0"/>
            <c:showLeaderLines val="1"/>
            <c:showPercent val="0"/>
          </c:dLbls>
          <c:val>
            <c:numRef>
              <c:f>'Busking Plot'!$E$4</c:f>
              <c:numCache/>
            </c:numRef>
          </c:val>
          <c:smooth val="0"/>
        </c:ser>
        <c:ser>
          <c:idx val="3"/>
          <c:order val="3"/>
          <c:tx>
            <c:strRef>
              <c:f>'Busking Plot'!$A$5</c:f>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x"/>
            <c:size val="6"/>
            <c:spPr>
              <a:solidFill>
                <a:srgbClr val="FFFFFF"/>
              </a:solidFill>
              <a:ln>
                <a:solidFill>
                  <a:srgbClr val="000000"/>
                </a:solidFill>
              </a:ln>
            </c:spPr>
          </c:marker>
          <c:dLbls>
            <c:numFmt formatCode="General" sourceLinked="1"/>
            <c:txPr>
              <a:bodyPr vert="horz" rot="0" anchor="ctr"/>
              <a:lstStyle/>
              <a:p>
                <a:pPr algn="ctr">
                  <a:defRPr lang="en-US" cap="none" sz="1360" b="0" i="0" u="none" baseline="0"/>
                </a:pPr>
              </a:p>
            </c:txPr>
            <c:dLblPos val="t"/>
            <c:showLegendKey val="0"/>
            <c:showVal val="0"/>
            <c:showBubbleSize val="0"/>
            <c:showCatName val="0"/>
            <c:showSerName val="0"/>
            <c:showLeaderLines val="1"/>
            <c:showPercent val="0"/>
          </c:dLbls>
          <c:val>
            <c:numRef>
              <c:f>'Busking Plot'!$E$5</c:f>
              <c:numCache/>
            </c:numRef>
          </c:val>
          <c:smooth val="0"/>
        </c:ser>
        <c:ser>
          <c:idx val="4"/>
          <c:order val="4"/>
          <c:tx>
            <c:strRef>
              <c:f>'Busking Plot'!$A$6</c:f>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tar"/>
            <c:size val="6"/>
            <c:spPr>
              <a:solidFill>
                <a:srgbClr val="FFFFFF"/>
              </a:solidFill>
              <a:ln>
                <a:solidFill>
                  <a:srgbClr val="000000"/>
                </a:solidFill>
              </a:ln>
            </c:spPr>
          </c:marker>
          <c:dLbls>
            <c:numFmt formatCode="General" sourceLinked="1"/>
            <c:txPr>
              <a:bodyPr vert="horz" rot="0" anchor="ctr"/>
              <a:lstStyle/>
              <a:p>
                <a:pPr algn="ctr">
                  <a:defRPr lang="en-US" cap="none" sz="1360" b="0" i="0" u="none" baseline="0"/>
                </a:pPr>
              </a:p>
            </c:txPr>
            <c:dLblPos val="t"/>
            <c:showLegendKey val="0"/>
            <c:showVal val="0"/>
            <c:showBubbleSize val="0"/>
            <c:showCatName val="0"/>
            <c:showSerName val="0"/>
            <c:showLeaderLines val="1"/>
            <c:showPercent val="0"/>
          </c:dLbls>
          <c:val>
            <c:numRef>
              <c:f>'Busking Plot'!$E$6</c:f>
              <c:numCache/>
            </c:numRef>
          </c:val>
          <c:smooth val="0"/>
        </c:ser>
        <c:ser>
          <c:idx val="5"/>
          <c:order val="5"/>
          <c:tx>
            <c:strRef>
              <c:f>'Busking Plot'!$A$7</c:f>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FFFF"/>
              </a:solidFill>
              <a:ln>
                <a:solidFill>
                  <a:srgbClr val="000000"/>
                </a:solidFill>
              </a:ln>
            </c:spPr>
          </c:marker>
          <c:dLbls>
            <c:numFmt formatCode="General" sourceLinked="1"/>
            <c:txPr>
              <a:bodyPr vert="horz" rot="0" anchor="ctr"/>
              <a:lstStyle/>
              <a:p>
                <a:pPr algn="ctr">
                  <a:defRPr lang="en-US" cap="none" sz="1360" b="0" i="0" u="none" baseline="0"/>
                </a:pPr>
              </a:p>
            </c:txPr>
            <c:dLblPos val="t"/>
            <c:showLegendKey val="0"/>
            <c:showVal val="0"/>
            <c:showBubbleSize val="0"/>
            <c:showCatName val="0"/>
            <c:showSerName val="0"/>
            <c:showLeaderLines val="1"/>
            <c:showPercent val="0"/>
          </c:dLbls>
          <c:val>
            <c:numRef>
              <c:f>'Busking Plot'!$E$7</c:f>
              <c:numCache/>
            </c:numRef>
          </c:val>
          <c:smooth val="0"/>
        </c:ser>
        <c:ser>
          <c:idx val="6"/>
          <c:order val="6"/>
          <c:tx>
            <c:strRef>
              <c:f>'Busking Plot'!$A$8</c:f>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plus"/>
            <c:size val="6"/>
            <c:spPr>
              <a:solidFill>
                <a:srgbClr val="FFFFFF"/>
              </a:solidFill>
              <a:ln>
                <a:solidFill>
                  <a:srgbClr val="000000"/>
                </a:solidFill>
              </a:ln>
            </c:spPr>
          </c:marker>
          <c:dLbls>
            <c:numFmt formatCode="General" sourceLinked="1"/>
            <c:txPr>
              <a:bodyPr vert="horz" rot="0" anchor="ctr"/>
              <a:lstStyle/>
              <a:p>
                <a:pPr algn="ctr">
                  <a:defRPr lang="en-US" cap="none" sz="1360" b="0" i="0" u="none" baseline="0"/>
                </a:pPr>
              </a:p>
            </c:txPr>
            <c:dLblPos val="t"/>
            <c:showLegendKey val="0"/>
            <c:showVal val="0"/>
            <c:showBubbleSize val="0"/>
            <c:showCatName val="0"/>
            <c:showSerName val="0"/>
            <c:showLeaderLines val="1"/>
            <c:showPercent val="0"/>
          </c:dLbls>
          <c:val>
            <c:numRef>
              <c:f>'Busking Plot'!$E$8</c:f>
              <c:numCache/>
            </c:numRef>
          </c:val>
          <c:smooth val="0"/>
        </c:ser>
        <c:ser>
          <c:idx val="7"/>
          <c:order val="7"/>
          <c:tx>
            <c:strRef>
              <c:f>'Busking Plot'!$A$9</c:f>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ot"/>
            <c:size val="6"/>
            <c:spPr>
              <a:solidFill>
                <a:srgbClr val="FFFFFF"/>
              </a:solidFill>
              <a:ln>
                <a:solidFill>
                  <a:srgbClr val="000000"/>
                </a:solidFill>
              </a:ln>
            </c:spPr>
          </c:marker>
          <c:dLbls>
            <c:numFmt formatCode="General" sourceLinked="1"/>
            <c:txPr>
              <a:bodyPr vert="horz" rot="0" anchor="ctr"/>
              <a:lstStyle/>
              <a:p>
                <a:pPr algn="ctr">
                  <a:defRPr lang="en-US" cap="none" sz="1360" b="0" i="0" u="none" baseline="0"/>
                </a:pPr>
              </a:p>
            </c:txPr>
            <c:dLblPos val="t"/>
            <c:showLegendKey val="0"/>
            <c:showVal val="0"/>
            <c:showBubbleSize val="0"/>
            <c:showCatName val="0"/>
            <c:showSerName val="0"/>
            <c:showLeaderLines val="1"/>
            <c:showPercent val="0"/>
          </c:dLbls>
          <c:val>
            <c:numRef>
              <c:f>'Busking Plot'!$E$9</c:f>
              <c:numCache/>
            </c:numRef>
          </c:val>
          <c:smooth val="0"/>
        </c:ser>
        <c:ser>
          <c:idx val="8"/>
          <c:order val="8"/>
          <c:tx>
            <c:strRef>
              <c:f>'Busking Plot'!$A$10</c:f>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6"/>
            <c:spPr>
              <a:solidFill>
                <a:srgbClr val="FFFFFF"/>
              </a:solidFill>
              <a:ln>
                <a:solidFill>
                  <a:srgbClr val="000000"/>
                </a:solidFill>
              </a:ln>
            </c:spPr>
          </c:marker>
          <c:dLbls>
            <c:numFmt formatCode="General" sourceLinked="1"/>
            <c:txPr>
              <a:bodyPr vert="horz" rot="0" anchor="ctr"/>
              <a:lstStyle/>
              <a:p>
                <a:pPr algn="ctr">
                  <a:defRPr lang="en-US" cap="none" sz="1360" b="0" i="0" u="none" baseline="0"/>
                </a:pPr>
              </a:p>
            </c:txPr>
            <c:dLblPos val="t"/>
            <c:showLegendKey val="0"/>
            <c:showVal val="0"/>
            <c:showBubbleSize val="0"/>
            <c:showCatName val="0"/>
            <c:showSerName val="0"/>
            <c:showLeaderLines val="1"/>
            <c:showPercent val="0"/>
          </c:dLbls>
          <c:val>
            <c:numRef>
              <c:f>'Busking Plot'!$E$10</c:f>
              <c:numCache/>
            </c:numRef>
          </c:val>
          <c:smooth val="0"/>
        </c:ser>
        <c:ser>
          <c:idx val="9"/>
          <c:order val="9"/>
          <c:tx>
            <c:strRef>
              <c:f>'Busking Plot'!$A$11</c:f>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FFFFFF"/>
              </a:solidFill>
              <a:ln>
                <a:solidFill>
                  <a:srgbClr val="000000"/>
                </a:solidFill>
              </a:ln>
            </c:spPr>
          </c:marker>
          <c:dLbls>
            <c:numFmt formatCode="General" sourceLinked="1"/>
            <c:txPr>
              <a:bodyPr vert="horz" rot="0" anchor="ctr"/>
              <a:lstStyle/>
              <a:p>
                <a:pPr algn="ctr">
                  <a:defRPr lang="en-US" cap="none" sz="1360" b="0" i="0" u="none" baseline="0"/>
                </a:pPr>
              </a:p>
            </c:txPr>
            <c:dLblPos val="t"/>
            <c:showLegendKey val="0"/>
            <c:showVal val="0"/>
            <c:showBubbleSize val="0"/>
            <c:showCatName val="0"/>
            <c:showSerName val="0"/>
            <c:showLeaderLines val="1"/>
            <c:showPercent val="0"/>
          </c:dLbls>
          <c:val>
            <c:numRef>
              <c:f>'Busking Plot'!$E$11</c:f>
              <c:numCache/>
            </c:numRef>
          </c:val>
          <c:smooth val="0"/>
        </c:ser>
        <c:ser>
          <c:idx val="10"/>
          <c:order val="10"/>
          <c:tx>
            <c:strRef>
              <c:f>'Busking Plot'!$A$12</c:f>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FFFFFF"/>
              </a:solidFill>
              <a:ln>
                <a:solidFill>
                  <a:srgbClr val="000000"/>
                </a:solidFill>
              </a:ln>
            </c:spPr>
          </c:marker>
          <c:dLbls>
            <c:numFmt formatCode="General" sourceLinked="1"/>
            <c:txPr>
              <a:bodyPr vert="horz" rot="0" anchor="ctr"/>
              <a:lstStyle/>
              <a:p>
                <a:pPr algn="ctr">
                  <a:defRPr lang="en-US" cap="none" sz="1360" b="0" i="0" u="none" baseline="0"/>
                </a:pPr>
              </a:p>
            </c:txPr>
            <c:dLblPos val="t"/>
            <c:showLegendKey val="0"/>
            <c:showVal val="0"/>
            <c:showBubbleSize val="0"/>
            <c:showCatName val="0"/>
            <c:showSerName val="0"/>
            <c:showLeaderLines val="1"/>
            <c:showPercent val="0"/>
          </c:dLbls>
          <c:val>
            <c:numRef>
              <c:f>'Busking Plot'!$E$12</c:f>
              <c:numCache/>
            </c:numRef>
          </c:val>
          <c:smooth val="0"/>
        </c:ser>
        <c:ser>
          <c:idx val="11"/>
          <c:order val="11"/>
          <c:tx>
            <c:strRef>
              <c:f>'Busking Plot'!$A$13</c:f>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FFFF"/>
              </a:solidFill>
              <a:ln>
                <a:solidFill>
                  <a:srgbClr val="000000"/>
                </a:solidFill>
              </a:ln>
            </c:spPr>
          </c:marker>
          <c:dLbls>
            <c:numFmt formatCode="General" sourceLinked="1"/>
            <c:txPr>
              <a:bodyPr vert="horz" rot="0" anchor="ctr"/>
              <a:lstStyle/>
              <a:p>
                <a:pPr algn="ctr">
                  <a:defRPr lang="en-US" cap="none" sz="1360" b="0" i="0" u="none" baseline="0"/>
                </a:pPr>
              </a:p>
            </c:txPr>
            <c:dLblPos val="t"/>
            <c:showLegendKey val="0"/>
            <c:showVal val="0"/>
            <c:showBubbleSize val="0"/>
            <c:showCatName val="0"/>
            <c:showSerName val="0"/>
            <c:showLeaderLines val="1"/>
            <c:showPercent val="0"/>
          </c:dLbls>
          <c:val>
            <c:numRef>
              <c:f>'Busking Plot'!$E$13</c:f>
              <c:numCache/>
            </c:numRef>
          </c:val>
          <c:smooth val="0"/>
        </c:ser>
        <c:ser>
          <c:idx val="12"/>
          <c:order val="12"/>
          <c:tx>
            <c:strRef>
              <c:f>'Busking Plot'!$A$14</c:f>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x"/>
            <c:size val="6"/>
            <c:spPr>
              <a:solidFill>
                <a:srgbClr val="FFFFFF"/>
              </a:solidFill>
              <a:ln>
                <a:solidFill>
                  <a:srgbClr val="000000"/>
                </a:solidFill>
              </a:ln>
            </c:spPr>
          </c:marker>
          <c:dLbls>
            <c:numFmt formatCode="General" sourceLinked="1"/>
            <c:txPr>
              <a:bodyPr vert="horz" rot="0" anchor="ctr"/>
              <a:lstStyle/>
              <a:p>
                <a:pPr algn="ctr">
                  <a:defRPr lang="en-US" cap="none" sz="1360" b="0" i="0" u="none" baseline="0"/>
                </a:pPr>
              </a:p>
            </c:txPr>
            <c:dLblPos val="t"/>
            <c:showLegendKey val="0"/>
            <c:showVal val="0"/>
            <c:showBubbleSize val="0"/>
            <c:showCatName val="0"/>
            <c:showSerName val="0"/>
            <c:showLeaderLines val="1"/>
            <c:showPercent val="0"/>
          </c:dLbls>
          <c:val>
            <c:numRef>
              <c:f>'Busking Plot'!$E$14</c:f>
              <c:numCache/>
            </c:numRef>
          </c:val>
          <c:smooth val="0"/>
        </c:ser>
        <c:ser>
          <c:idx val="13"/>
          <c:order val="13"/>
          <c:tx>
            <c:strRef>
              <c:f>'Busking Plot'!$A$15</c:f>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tar"/>
            <c:size val="6"/>
            <c:spPr>
              <a:solidFill>
                <a:srgbClr val="FFFFFF"/>
              </a:solidFill>
              <a:ln>
                <a:solidFill>
                  <a:srgbClr val="000000"/>
                </a:solidFill>
              </a:ln>
            </c:spPr>
          </c:marker>
          <c:dLbls>
            <c:numFmt formatCode="General" sourceLinked="1"/>
            <c:txPr>
              <a:bodyPr vert="horz" rot="0" anchor="ctr"/>
              <a:lstStyle/>
              <a:p>
                <a:pPr algn="ctr">
                  <a:defRPr lang="en-US" cap="none" sz="1360" b="0" i="0" u="none" baseline="0"/>
                </a:pPr>
              </a:p>
            </c:txPr>
            <c:dLblPos val="t"/>
            <c:showLegendKey val="0"/>
            <c:showVal val="0"/>
            <c:showBubbleSize val="0"/>
            <c:showCatName val="0"/>
            <c:showSerName val="0"/>
            <c:showLeaderLines val="1"/>
            <c:showPercent val="0"/>
          </c:dLbls>
          <c:val>
            <c:numRef>
              <c:f>'Busking Plot'!$E$15</c:f>
              <c:numCache/>
            </c:numRef>
          </c:val>
          <c:smooth val="0"/>
        </c:ser>
        <c:ser>
          <c:idx val="14"/>
          <c:order val="14"/>
          <c:tx>
            <c:strRef>
              <c:f>'Busking Plot'!$A$16</c:f>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FFFF"/>
              </a:solidFill>
              <a:ln>
                <a:solidFill>
                  <a:srgbClr val="000000"/>
                </a:solidFill>
              </a:ln>
            </c:spPr>
          </c:marker>
          <c:dLbls>
            <c:numFmt formatCode="General" sourceLinked="1"/>
            <c:txPr>
              <a:bodyPr vert="horz" rot="0" anchor="ctr"/>
              <a:lstStyle/>
              <a:p>
                <a:pPr algn="ctr">
                  <a:defRPr lang="en-US" cap="none" sz="1360" b="0" i="0" u="none" baseline="0"/>
                </a:pPr>
              </a:p>
            </c:txPr>
            <c:dLblPos val="t"/>
            <c:showLegendKey val="0"/>
            <c:showVal val="0"/>
            <c:showBubbleSize val="0"/>
            <c:showCatName val="0"/>
            <c:showSerName val="0"/>
            <c:showLeaderLines val="1"/>
            <c:showPercent val="0"/>
          </c:dLbls>
          <c:val>
            <c:numRef>
              <c:f>'Busking Plot'!$E$16</c:f>
              <c:numCache/>
            </c:numRef>
          </c:val>
          <c:smooth val="0"/>
        </c:ser>
        <c:ser>
          <c:idx val="15"/>
          <c:order val="15"/>
          <c:tx>
            <c:strRef>
              <c:f>'Busking Plot'!$A$17</c:f>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plus"/>
            <c:size val="6"/>
            <c:spPr>
              <a:solidFill>
                <a:srgbClr val="FFFFFF"/>
              </a:solidFill>
              <a:ln>
                <a:solidFill>
                  <a:srgbClr val="000000"/>
                </a:solidFill>
              </a:ln>
            </c:spPr>
          </c:marker>
          <c:dLbls>
            <c:numFmt formatCode="General" sourceLinked="1"/>
            <c:txPr>
              <a:bodyPr vert="horz" rot="0" anchor="ctr"/>
              <a:lstStyle/>
              <a:p>
                <a:pPr algn="ctr">
                  <a:defRPr lang="en-US" cap="none" sz="1360" b="0" i="0" u="none" baseline="0"/>
                </a:pPr>
              </a:p>
            </c:txPr>
            <c:dLblPos val="t"/>
            <c:showLegendKey val="0"/>
            <c:showVal val="0"/>
            <c:showBubbleSize val="0"/>
            <c:showCatName val="0"/>
            <c:showSerName val="0"/>
            <c:showLeaderLines val="1"/>
            <c:showPercent val="0"/>
          </c:dLbls>
          <c:val>
            <c:numRef>
              <c:f>'Busking Plot'!$E$17</c:f>
              <c:numCache/>
            </c:numRef>
          </c:val>
          <c:smooth val="0"/>
        </c:ser>
        <c:ser>
          <c:idx val="16"/>
          <c:order val="16"/>
          <c:tx>
            <c:strRef>
              <c:f>'Busking Plot'!$A$18</c:f>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ot"/>
            <c:size val="6"/>
            <c:spPr>
              <a:solidFill>
                <a:srgbClr val="FFFFFF"/>
              </a:solidFill>
              <a:ln>
                <a:solidFill>
                  <a:srgbClr val="000000"/>
                </a:solidFill>
              </a:ln>
            </c:spPr>
          </c:marker>
          <c:dLbls>
            <c:numFmt formatCode="General" sourceLinked="1"/>
            <c:txPr>
              <a:bodyPr vert="horz" rot="0" anchor="ctr"/>
              <a:lstStyle/>
              <a:p>
                <a:pPr algn="ctr">
                  <a:defRPr lang="en-US" cap="none" sz="1360" b="0" i="0" u="none" baseline="0"/>
                </a:pPr>
              </a:p>
            </c:txPr>
            <c:dLblPos val="t"/>
            <c:showLegendKey val="0"/>
            <c:showVal val="0"/>
            <c:showBubbleSize val="0"/>
            <c:showCatName val="0"/>
            <c:showSerName val="0"/>
            <c:showLeaderLines val="1"/>
            <c:showPercent val="0"/>
          </c:dLbls>
          <c:val>
            <c:numRef>
              <c:f>'Busking Plot'!$E$18</c:f>
              <c:numCache/>
            </c:numRef>
          </c:val>
          <c:smooth val="0"/>
        </c:ser>
        <c:ser>
          <c:idx val="17"/>
          <c:order val="17"/>
          <c:tx>
            <c:strRef>
              <c:f>'Busking Plot'!$A$19</c:f>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6"/>
            <c:spPr>
              <a:solidFill>
                <a:srgbClr val="FFFFFF"/>
              </a:solidFill>
              <a:ln>
                <a:solidFill>
                  <a:srgbClr val="000000"/>
                </a:solidFill>
              </a:ln>
            </c:spPr>
          </c:marker>
          <c:dLbls>
            <c:numFmt formatCode="General" sourceLinked="1"/>
            <c:txPr>
              <a:bodyPr vert="horz" rot="0" anchor="ctr"/>
              <a:lstStyle/>
              <a:p>
                <a:pPr algn="ctr">
                  <a:defRPr lang="en-US" cap="none" sz="1360" b="0" i="0" u="none" baseline="0"/>
                </a:pPr>
              </a:p>
            </c:txPr>
            <c:dLblPos val="t"/>
            <c:showLegendKey val="0"/>
            <c:showVal val="0"/>
            <c:showBubbleSize val="0"/>
            <c:showCatName val="0"/>
            <c:showSerName val="0"/>
            <c:showLeaderLines val="1"/>
            <c:showPercent val="0"/>
          </c:dLbls>
          <c:val>
            <c:numRef>
              <c:f>'Busking Plot'!$E$19</c:f>
              <c:numCache/>
            </c:numRef>
          </c:val>
          <c:smooth val="0"/>
        </c:ser>
        <c:ser>
          <c:idx val="18"/>
          <c:order val="18"/>
          <c:tx>
            <c:strRef>
              <c:f>'Busking Plot'!$A$20</c:f>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FFFFFF"/>
              </a:solidFill>
              <a:ln>
                <a:solidFill>
                  <a:srgbClr val="000000"/>
                </a:solidFill>
              </a:ln>
            </c:spPr>
          </c:marker>
          <c:dLbls>
            <c:numFmt formatCode="General" sourceLinked="1"/>
            <c:txPr>
              <a:bodyPr vert="horz" rot="0" anchor="ctr"/>
              <a:lstStyle/>
              <a:p>
                <a:pPr algn="ctr">
                  <a:defRPr lang="en-US" cap="none" sz="1360" b="0" i="0" u="none" baseline="0"/>
                </a:pPr>
              </a:p>
            </c:txPr>
            <c:dLblPos val="t"/>
            <c:showLegendKey val="0"/>
            <c:showVal val="0"/>
            <c:showBubbleSize val="0"/>
            <c:showCatName val="0"/>
            <c:showSerName val="0"/>
            <c:showLeaderLines val="1"/>
            <c:showPercent val="0"/>
          </c:dLbls>
          <c:val>
            <c:numRef>
              <c:f>'Busking Plot'!$E$20</c:f>
              <c:numCache/>
            </c:numRef>
          </c:val>
          <c:smooth val="0"/>
        </c:ser>
        <c:ser>
          <c:idx val="19"/>
          <c:order val="19"/>
          <c:tx>
            <c:strRef>
              <c:f>'Busking Plot'!$A$21</c:f>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FFFFFF"/>
              </a:solidFill>
              <a:ln>
                <a:solidFill>
                  <a:srgbClr val="000000"/>
                </a:solidFill>
              </a:ln>
            </c:spPr>
          </c:marker>
          <c:dLbls>
            <c:numFmt formatCode="General" sourceLinked="1"/>
            <c:txPr>
              <a:bodyPr vert="horz" rot="0" anchor="ctr"/>
              <a:lstStyle/>
              <a:p>
                <a:pPr algn="ctr">
                  <a:defRPr lang="en-US" cap="none" sz="1360" b="0" i="0" u="none" baseline="0"/>
                </a:pPr>
              </a:p>
            </c:txPr>
            <c:dLblPos val="t"/>
            <c:showLegendKey val="0"/>
            <c:showVal val="0"/>
            <c:showBubbleSize val="0"/>
            <c:showCatName val="0"/>
            <c:showSerName val="0"/>
            <c:showLeaderLines val="1"/>
            <c:showPercent val="0"/>
          </c:dLbls>
          <c:val>
            <c:numRef>
              <c:f>'Busking Plot'!$E$21</c:f>
              <c:numCache/>
            </c:numRef>
          </c:val>
          <c:smooth val="0"/>
        </c:ser>
        <c:ser>
          <c:idx val="20"/>
          <c:order val="20"/>
          <c:tx>
            <c:strRef>
              <c:f>'Busking Plot'!$A$22</c:f>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FFFF"/>
              </a:solidFill>
              <a:ln>
                <a:solidFill>
                  <a:srgbClr val="000000"/>
                </a:solidFill>
              </a:ln>
            </c:spPr>
          </c:marker>
          <c:dLbls>
            <c:numFmt formatCode="General" sourceLinked="1"/>
            <c:txPr>
              <a:bodyPr vert="horz" rot="0" anchor="ctr"/>
              <a:lstStyle/>
              <a:p>
                <a:pPr algn="ctr">
                  <a:defRPr lang="en-US" cap="none" sz="1360" b="0" i="0" u="none" baseline="0"/>
                </a:pPr>
              </a:p>
            </c:txPr>
            <c:dLblPos val="t"/>
            <c:showLegendKey val="0"/>
            <c:showVal val="0"/>
            <c:showBubbleSize val="0"/>
            <c:showCatName val="0"/>
            <c:showSerName val="0"/>
            <c:showLeaderLines val="1"/>
            <c:showPercent val="0"/>
          </c:dLbls>
          <c:val>
            <c:numRef>
              <c:f>'Busking Plot'!$E$22</c:f>
              <c:numCache/>
            </c:numRef>
          </c:val>
          <c:smooth val="0"/>
        </c:ser>
        <c:ser>
          <c:idx val="21"/>
          <c:order val="21"/>
          <c:tx>
            <c:strRef>
              <c:f>'Busking Plot'!$A$23</c:f>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x"/>
            <c:size val="6"/>
            <c:spPr>
              <a:solidFill>
                <a:srgbClr val="FFFFFF"/>
              </a:solidFill>
              <a:ln>
                <a:solidFill>
                  <a:srgbClr val="000000"/>
                </a:solidFill>
              </a:ln>
            </c:spPr>
          </c:marker>
          <c:dLbls>
            <c:numFmt formatCode="General" sourceLinked="1"/>
            <c:txPr>
              <a:bodyPr vert="horz" rot="0" anchor="ctr"/>
              <a:lstStyle/>
              <a:p>
                <a:pPr algn="ctr">
                  <a:defRPr lang="en-US" cap="none" sz="1360" b="0" i="0" u="none" baseline="0"/>
                </a:pPr>
              </a:p>
            </c:txPr>
            <c:dLblPos val="t"/>
            <c:showLegendKey val="0"/>
            <c:showVal val="0"/>
            <c:showBubbleSize val="0"/>
            <c:showCatName val="0"/>
            <c:showSerName val="0"/>
            <c:showLeaderLines val="1"/>
            <c:showPercent val="0"/>
          </c:dLbls>
          <c:val>
            <c:numRef>
              <c:f>'Busking Plot'!$E$23</c:f>
              <c:numCache/>
            </c:numRef>
          </c:val>
          <c:smooth val="0"/>
        </c:ser>
        <c:ser>
          <c:idx val="22"/>
          <c:order val="22"/>
          <c:tx>
            <c:strRef>
              <c:f>'Busking Plot'!$A$24</c:f>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tar"/>
            <c:size val="6"/>
            <c:spPr>
              <a:solidFill>
                <a:srgbClr val="FFFFFF"/>
              </a:solidFill>
              <a:ln>
                <a:solidFill>
                  <a:srgbClr val="000000"/>
                </a:solidFill>
              </a:ln>
            </c:spPr>
          </c:marker>
          <c:dLbls>
            <c:numFmt formatCode="General" sourceLinked="1"/>
            <c:txPr>
              <a:bodyPr vert="horz" rot="0" anchor="ctr"/>
              <a:lstStyle/>
              <a:p>
                <a:pPr algn="ctr">
                  <a:defRPr lang="en-US" cap="none" sz="1360" b="0" i="0" u="none" baseline="0"/>
                </a:pPr>
              </a:p>
            </c:txPr>
            <c:dLblPos val="t"/>
            <c:showLegendKey val="0"/>
            <c:showVal val="0"/>
            <c:showBubbleSize val="0"/>
            <c:showCatName val="0"/>
            <c:showSerName val="0"/>
            <c:showLeaderLines val="1"/>
            <c:showPercent val="0"/>
          </c:dLbls>
          <c:val>
            <c:numRef>
              <c:f>'Busking Plot'!$E$24</c:f>
              <c:numCache/>
            </c:numRef>
          </c:val>
          <c:smooth val="0"/>
        </c:ser>
        <c:ser>
          <c:idx val="23"/>
          <c:order val="23"/>
          <c:tx>
            <c:strRef>
              <c:f>'Busking Plot'!$A$25</c:f>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FFFF"/>
              </a:solidFill>
              <a:ln>
                <a:solidFill>
                  <a:srgbClr val="000000"/>
                </a:solidFill>
              </a:ln>
            </c:spPr>
          </c:marker>
          <c:dLbls>
            <c:numFmt formatCode="General" sourceLinked="1"/>
            <c:txPr>
              <a:bodyPr vert="horz" rot="0" anchor="ctr"/>
              <a:lstStyle/>
              <a:p>
                <a:pPr algn="ctr">
                  <a:defRPr lang="en-US" cap="none" sz="1360" b="0" i="0" u="none" baseline="0"/>
                </a:pPr>
              </a:p>
            </c:txPr>
            <c:dLblPos val="t"/>
            <c:showLegendKey val="0"/>
            <c:showVal val="0"/>
            <c:showBubbleSize val="0"/>
            <c:showCatName val="0"/>
            <c:showSerName val="0"/>
            <c:showLeaderLines val="1"/>
            <c:showPercent val="0"/>
          </c:dLbls>
          <c:val>
            <c:numRef>
              <c:f>'Busking Plot'!$E$25</c:f>
              <c:numCache/>
            </c:numRef>
          </c:val>
          <c:smooth val="0"/>
        </c:ser>
        <c:ser>
          <c:idx val="24"/>
          <c:order val="24"/>
          <c:tx>
            <c:strRef>
              <c:f>'Busking Plot'!$A$26</c:f>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plus"/>
            <c:size val="6"/>
            <c:spPr>
              <a:solidFill>
                <a:srgbClr val="FFFFFF"/>
              </a:solidFill>
              <a:ln>
                <a:solidFill>
                  <a:srgbClr val="000000"/>
                </a:solidFill>
              </a:ln>
            </c:spPr>
          </c:marker>
          <c:dLbls>
            <c:numFmt formatCode="General" sourceLinked="1"/>
            <c:txPr>
              <a:bodyPr vert="horz" rot="0" anchor="ctr"/>
              <a:lstStyle/>
              <a:p>
                <a:pPr algn="ctr">
                  <a:defRPr lang="en-US" cap="none" sz="1360" b="0" i="0" u="none" baseline="0"/>
                </a:pPr>
              </a:p>
            </c:txPr>
            <c:dLblPos val="t"/>
            <c:showLegendKey val="0"/>
            <c:showVal val="0"/>
            <c:showBubbleSize val="0"/>
            <c:showCatName val="0"/>
            <c:showSerName val="0"/>
            <c:showLeaderLines val="1"/>
            <c:showPercent val="0"/>
          </c:dLbls>
          <c:val>
            <c:numRef>
              <c:f>'Busking Plot'!$E$26</c:f>
              <c:numCache/>
            </c:numRef>
          </c:val>
          <c:smooth val="0"/>
        </c:ser>
        <c:ser>
          <c:idx val="25"/>
          <c:order val="25"/>
          <c:tx>
            <c:strRef>
              <c:f>'Busking Plot'!$A$27</c:f>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ot"/>
            <c:size val="6"/>
            <c:spPr>
              <a:solidFill>
                <a:srgbClr val="FFFFFF"/>
              </a:solidFill>
              <a:ln>
                <a:solidFill>
                  <a:srgbClr val="000000"/>
                </a:solidFill>
              </a:ln>
            </c:spPr>
          </c:marker>
          <c:dLbls>
            <c:numFmt formatCode="General" sourceLinked="1"/>
            <c:txPr>
              <a:bodyPr vert="horz" rot="0" anchor="ctr"/>
              <a:lstStyle/>
              <a:p>
                <a:pPr algn="ctr">
                  <a:defRPr lang="en-US" cap="none" sz="1360" b="0" i="0" u="none" baseline="0"/>
                </a:pPr>
              </a:p>
            </c:txPr>
            <c:dLblPos val="t"/>
            <c:showLegendKey val="0"/>
            <c:showVal val="0"/>
            <c:showBubbleSize val="0"/>
            <c:showCatName val="0"/>
            <c:showSerName val="0"/>
            <c:showLeaderLines val="1"/>
            <c:showPercent val="0"/>
          </c:dLbls>
          <c:val>
            <c:numRef>
              <c:f>'Busking Plot'!$E$27</c:f>
              <c:numCache/>
            </c:numRef>
          </c:val>
          <c:smooth val="0"/>
        </c:ser>
        <c:ser>
          <c:idx val="26"/>
          <c:order val="26"/>
          <c:tx>
            <c:strRef>
              <c:f>'Busking Plot'!$A$28</c:f>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6"/>
            <c:spPr>
              <a:solidFill>
                <a:srgbClr val="FFFFFF"/>
              </a:solidFill>
              <a:ln>
                <a:solidFill>
                  <a:srgbClr val="000000"/>
                </a:solidFill>
              </a:ln>
            </c:spPr>
          </c:marker>
          <c:dLbls>
            <c:numFmt formatCode="General" sourceLinked="1"/>
            <c:txPr>
              <a:bodyPr vert="horz" rot="0" anchor="ctr"/>
              <a:lstStyle/>
              <a:p>
                <a:pPr algn="ctr">
                  <a:defRPr lang="en-US" cap="none" sz="1360" b="0" i="0" u="none" baseline="0"/>
                </a:pPr>
              </a:p>
            </c:txPr>
            <c:dLblPos val="t"/>
            <c:showLegendKey val="0"/>
            <c:showVal val="0"/>
            <c:showBubbleSize val="0"/>
            <c:showCatName val="0"/>
            <c:showSerName val="0"/>
            <c:showLeaderLines val="1"/>
            <c:showPercent val="0"/>
          </c:dLbls>
          <c:val>
            <c:numRef>
              <c:f>'Busking Plot'!$E$28</c:f>
              <c:numCache/>
            </c:numRef>
          </c:val>
          <c:smooth val="0"/>
        </c:ser>
        <c:ser>
          <c:idx val="27"/>
          <c:order val="27"/>
          <c:tx>
            <c:strRef>
              <c:f>'Busking Plot'!$A$29</c:f>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FFFFFF"/>
              </a:solidFill>
              <a:ln>
                <a:solidFill>
                  <a:srgbClr val="000000"/>
                </a:solidFill>
              </a:ln>
            </c:spPr>
          </c:marker>
          <c:dLbls>
            <c:numFmt formatCode="General" sourceLinked="1"/>
            <c:txPr>
              <a:bodyPr vert="horz" rot="0" anchor="ctr"/>
              <a:lstStyle/>
              <a:p>
                <a:pPr algn="ctr">
                  <a:defRPr lang="en-US" cap="none" sz="1360" b="0" i="0" u="none" baseline="0"/>
                </a:pPr>
              </a:p>
            </c:txPr>
            <c:dLblPos val="t"/>
            <c:showLegendKey val="0"/>
            <c:showVal val="0"/>
            <c:showBubbleSize val="0"/>
            <c:showCatName val="0"/>
            <c:showSerName val="0"/>
            <c:showLeaderLines val="1"/>
            <c:showPercent val="0"/>
          </c:dLbls>
          <c:val>
            <c:numRef>
              <c:f>'Busking Plot'!$E$29</c:f>
              <c:numCache/>
            </c:numRef>
          </c:val>
          <c:smooth val="0"/>
        </c:ser>
        <c:ser>
          <c:idx val="28"/>
          <c:order val="28"/>
          <c:tx>
            <c:strRef>
              <c:f>'Busking Plot'!$A$30</c:f>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FFFFFF"/>
              </a:solidFill>
              <a:ln>
                <a:solidFill>
                  <a:srgbClr val="000000"/>
                </a:solidFill>
              </a:ln>
            </c:spPr>
          </c:marker>
          <c:dLbls>
            <c:numFmt formatCode="General" sourceLinked="1"/>
            <c:txPr>
              <a:bodyPr vert="horz" rot="0" anchor="ctr"/>
              <a:lstStyle/>
              <a:p>
                <a:pPr algn="ctr">
                  <a:defRPr lang="en-US" cap="none" sz="1360" b="0" i="0" u="none" baseline="0"/>
                </a:pPr>
              </a:p>
            </c:txPr>
            <c:dLblPos val="t"/>
            <c:showLegendKey val="0"/>
            <c:showVal val="0"/>
            <c:showBubbleSize val="0"/>
            <c:showCatName val="0"/>
            <c:showSerName val="0"/>
            <c:showLeaderLines val="1"/>
            <c:showPercent val="0"/>
          </c:dLbls>
          <c:val>
            <c:numRef>
              <c:f>'Busking Plot'!$E$30</c:f>
              <c:numCache/>
            </c:numRef>
          </c:val>
          <c:smooth val="0"/>
        </c:ser>
        <c:marker val="1"/>
        <c:axId val="13168893"/>
        <c:axId val="8111298"/>
      </c:lineChart>
      <c:catAx>
        <c:axId val="13168893"/>
        <c:scaling>
          <c:orientation val="minMax"/>
        </c:scaling>
        <c:axPos val="b"/>
        <c:delete val="0"/>
        <c:numFmt formatCode="General" sourceLinked="1"/>
        <c:majorTickMark val="out"/>
        <c:minorTickMark val="none"/>
        <c:tickLblPos val="low"/>
        <c:spPr>
          <a:ln w="3175">
            <a:noFill/>
          </a:ln>
        </c:spPr>
        <c:txPr>
          <a:bodyPr vert="horz" rot="0"/>
          <a:lstStyle/>
          <a:p>
            <a:pPr>
              <a:defRPr lang="en-US" cap="none" sz="1000" b="0" i="0" u="none" baseline="0">
                <a:solidFill>
                  <a:srgbClr val="000000"/>
                </a:solidFill>
                <a:latin typeface="Arial"/>
                <a:ea typeface="Arial"/>
                <a:cs typeface="Arial"/>
              </a:defRPr>
            </a:pPr>
          </a:p>
        </c:txPr>
        <c:crossAx val="8111298"/>
        <c:crossesAt val="0"/>
        <c:auto val="1"/>
        <c:lblOffset val="100"/>
        <c:noMultiLvlLbl val="0"/>
      </c:catAx>
      <c:valAx>
        <c:axId val="8111298"/>
        <c:scaling>
          <c:orientation val="minMax"/>
        </c:scaling>
        <c:axPos val="l"/>
        <c:delete val="0"/>
        <c:numFmt formatCode="#,##0" sourceLinked="0"/>
        <c:majorTickMark val="out"/>
        <c:minorTickMark val="none"/>
        <c:tickLblPos val="low"/>
        <c:spPr>
          <a:ln w="3175">
            <a:noFill/>
          </a:ln>
        </c:spPr>
        <c:txPr>
          <a:bodyPr vert="horz" rot="0"/>
          <a:lstStyle/>
          <a:p>
            <a:pPr>
              <a:defRPr lang="en-US" cap="none" sz="1000" b="0" i="0" u="none" baseline="0">
                <a:solidFill>
                  <a:srgbClr val="000000"/>
                </a:solidFill>
                <a:latin typeface="Arial"/>
                <a:ea typeface="Arial"/>
                <a:cs typeface="Arial"/>
              </a:defRPr>
            </a:pPr>
          </a:p>
        </c:txPr>
        <c:crossAx val="13168893"/>
        <c:crossesAt val="1"/>
        <c:crossBetween val="midCat"/>
        <c:dispUnits/>
      </c:valAx>
      <c:spPr>
        <a:noFill/>
        <a:ln w="12700">
          <a:noFill/>
        </a:ln>
      </c:spPr>
    </c:plotArea>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16</xdr:col>
      <xdr:colOff>142875</xdr:colOff>
      <xdr:row>43</xdr:row>
      <xdr:rowOff>28575</xdr:rowOff>
    </xdr:to>
    <xdr:graphicFrame>
      <xdr:nvGraphicFramePr>
        <xdr:cNvPr id="1" name="Chart 1"/>
        <xdr:cNvGraphicFramePr/>
      </xdr:nvGraphicFramePr>
      <xdr:xfrm>
        <a:off x="0" y="0"/>
        <a:ext cx="7915275" cy="57054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2.xml.rels><?xml version="1.0" encoding="utf-8" standalone="yes"?><Relationships xmlns="http://schemas.openxmlformats.org/package/2006/relationships"><Relationship Id="rId1" Type="http://schemas.openxmlformats.org/officeDocument/2006/relationships/hyperlink" Target="mailto:brian.hansell@ntlworld.com" TargetMode="External" /><Relationship Id="rId2" Type="http://schemas.openxmlformats.org/officeDocument/2006/relationships/hyperlink" Target="http://www.cambridgemorrismen.org.uk/jmo-2014/" TargetMode="External" /></Relationships>
</file>

<file path=xl/worksheets/_rels/sheet13.xml.rels><?xml version="1.0" encoding="utf-8" standalone="yes"?><Relationships xmlns="http://schemas.openxmlformats.org/package/2006/relationships"><Relationship Id="rId1" Type="http://schemas.openxmlformats.org/officeDocument/2006/relationships/hyperlink" Target="mailto:mikestevensPE11@aol.co.uk" TargetMode="External" /><Relationship Id="rId2" Type="http://schemas.openxmlformats.org/officeDocument/2006/relationships/hyperlink" Target="mailto:esmm.bagman@btinternet.com" TargetMode="External" /><Relationship Id="rId3" Type="http://schemas.openxmlformats.org/officeDocument/2006/relationships/hyperlink" Target="mailto:bagman@wicketbrood.org.ukgeoffsimmonds@btopenworld.com" TargetMode="External" /><Relationship Id="rId4" Type="http://schemas.openxmlformats.org/officeDocument/2006/relationships/hyperlink" Target="mailto:lin_tunbridge@hotmail.co.ukturbervilleinfo@gmail.com" TargetMode="External" /><Relationship Id="rId5" Type="http://schemas.openxmlformats.org/officeDocument/2006/relationships/hyperlink" Target="mailto:info@baldockmidnightmorris.org.uk" TargetMode="External" /><Relationship Id="rId6" Type="http://schemas.openxmlformats.org/officeDocument/2006/relationships/hyperlink" Target="mailto:brackleymorris@gmail.com" TargetMode="External" /><Relationship Id="rId7" Type="http://schemas.openxmlformats.org/officeDocument/2006/relationships/hyperlink" Target="mailto:mjtheobald@talktalk.net" TargetMode="External" /><Relationship Id="rId8" Type="http://schemas.openxmlformats.org/officeDocument/2006/relationships/hyperlink" Target="mailto:coton.morris@gmx.com" TargetMode="External" /><Relationship Id="rId9" Type="http://schemas.openxmlformats.org/officeDocument/2006/relationships/hyperlink" Target="mailto:bagman@greensleevesmorris.org.uk" TargetMode="External" /><Relationship Id="rId10" Type="http://schemas.openxmlformats.org/officeDocument/2006/relationships/hyperlink" Target="mailto:esmm.bagman@btinternet.com" TargetMode="External" /><Relationship Id="rId11" Type="http://schemas.openxmlformats.org/officeDocument/2006/relationships/hyperlink" Target="mailto:alpdsmith@talktalk.net" TargetMode="External" /><Relationship Id="rId12" Type="http://schemas.openxmlformats.org/officeDocument/2006/relationships/hyperlink" Target="mailto:charliecorcoran7@ntlworld.com" TargetMode="External" /><Relationship Id="rId13" Type="http://schemas.openxmlformats.org/officeDocument/2006/relationships/hyperlink" Target="mailto:pattipitt6@aol.com" TargetMode="External" /><Relationship Id="rId14" Type="http://schemas.openxmlformats.org/officeDocument/2006/relationships/hyperlink" Target="mailto:natasha.woodward@live.co.uk" TargetMode="External" /><Relationship Id="rId15" Type="http://schemas.openxmlformats.org/officeDocument/2006/relationships/hyperlink" Target="mailto:pete.staffordhoneyball@o2.co.uk" TargetMode="External" /></Relationships>
</file>

<file path=xl/worksheets/_rels/sheet14.xml.rels><?xml version="1.0" encoding="utf-8" standalone="yes"?><Relationships xmlns="http://schemas.openxmlformats.org/package/2006/relationships"><Relationship Id="rId1" Type="http://schemas.openxmlformats.org/officeDocument/2006/relationships/hyperlink" Target="https://www.cambridge.gov.uk/services/park-hire" TargetMode="External" /><Relationship Id="rId2" Type="http://schemas.openxmlformats.org/officeDocument/2006/relationships/hyperlink" Target="mailto:events@cambridge.gov.uk"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http://www.x-leisure.co.uk/contact-us" TargetMode="External" /><Relationship Id="rId2" Type="http://schemas.openxmlformats.org/officeDocument/2006/relationships/hyperlink" Target="Application%20Data/Microsoft/Excel/buskers%20code%20of%20practice.pdf"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mailto:squire@cambridemorrismen.org.uk" TargetMode="External" /><Relationship Id="rId2" Type="http://schemas.openxmlformats.org/officeDocument/2006/relationships/hyperlink" Target="mailto:oliver.king11@btinternet.com" TargetMode="External" /><Relationship Id="rId3" Type="http://schemas.openxmlformats.org/officeDocument/2006/relationships/hyperlink" Target="mailto:bagman@cambridgemorrismen.org.uk" TargetMode="External" /><Relationship Id="rId4" Type="http://schemas.openxmlformats.org/officeDocument/2006/relationships/hyperlink" Target="mailto:kemp5ka5h@yahoo.co.uk" TargetMode="External" /><Relationship Id="rId5" Type="http://schemas.openxmlformats.org/officeDocument/2006/relationships/hyperlink" Target="mailto:macktoddmack@me.com" TargetMode="External" /><Relationship Id="rId6" Type="http://schemas.openxmlformats.org/officeDocument/2006/relationships/hyperlink" Target="mailto:springettrobin@gmail.com" TargetMode="External" /><Relationship Id="rId7" Type="http://schemas.openxmlformats.org/officeDocument/2006/relationships/hyperlink" Target="mailto:HPAServices@aol.com" TargetMode="External" /><Relationship Id="rId8" Type="http://schemas.openxmlformats.org/officeDocument/2006/relationships/hyperlink" Target="mailto:bagman@themorrisring.org" TargetMode="External" /><Relationship Id="rId9" Type="http://schemas.openxmlformats.org/officeDocument/2006/relationships/hyperlink" Target="mailto:treasurer@barwick-green.co.uk" TargetMode="External" /><Relationship Id="rId10" Type="http://schemas.openxmlformats.org/officeDocument/2006/relationships/hyperlink" Target="mailto:StimpsonM@aol.com" TargetMode="External" /><Relationship Id="rId11" Type="http://schemas.openxmlformats.org/officeDocument/2006/relationships/hyperlink" Target="mailto:webmaster@themorrisring.org" TargetMode="External" /><Relationship Id="rId12" Type="http://schemas.openxmlformats.org/officeDocument/2006/relationships/hyperlink" Target="mailto:john_burke@ntlworld.com" TargetMode="External" /><Relationship Id="rId13" Type="http://schemas.openxmlformats.org/officeDocument/2006/relationships/hyperlink" Target="mailto:melanieclog@gmail.com" TargetMode="External" /><Relationship Id="rId14" Type="http://schemas.openxmlformats.org/officeDocument/2006/relationships/hyperlink" Target="mailto:sec@morrisfed.org.uk" TargetMode="External" /><Relationship Id="rId15" Type="http://schemas.openxmlformats.org/officeDocument/2006/relationships/hyperlink" Target="mailto:notation@morrisfed.org.uk" TargetMode="External" /><Relationship Id="rId16" Type="http://schemas.openxmlformats.org/officeDocument/2006/relationships/hyperlink" Target="mailto:pres@morrisfed.org.uk" TargetMode="External" /><Relationship Id="rId17" Type="http://schemas.openxmlformats.org/officeDocument/2006/relationships/hyperlink" Target="mailto:john@siwel.co.uk" TargetMode="External" /><Relationship Id="rId18" Type="http://schemas.openxmlformats.org/officeDocument/2006/relationships/hyperlink" Target="mailto:chair@open-morris.orgbethan_sundancer@hotmail.co.ukbethan.holdridge@norfolk.gov.uk" TargetMode="External" /><Relationship Id="rId19" Type="http://schemas.openxmlformats.org/officeDocument/2006/relationships/hyperlink" Target="mailto:secretary@open-morris.org" TargetMode="External" /><Relationship Id="rId20" Type="http://schemas.openxmlformats.org/officeDocument/2006/relationships/hyperlink" Target="mailto:greatcapermorris@yahoo.co.uk" TargetMode="External" /><Relationship Id="rId21" Type="http://schemas.openxmlformats.org/officeDocument/2006/relationships/hyperlink" Target="mailto:publicity@open-morris.org" TargetMode="External" /><Relationship Id="rId22" Type="http://schemas.openxmlformats.org/officeDocument/2006/relationships/hyperlink" Target="mailto:philwatson5852@gmail.com" TargetMode="External" /><Relationship Id="rId23" Type="http://schemas.openxmlformats.org/officeDocument/2006/relationships/hyperlink" Target="mailto:shaun@themorrisshop.co.uk" TargetMode="External" /><Relationship Id="rId24" Type="http://schemas.openxmlformats.org/officeDocument/2006/relationships/hyperlink" Target="mailto:cuillins@mac.com" TargetMode="External" /><Relationship Id="rId25" Type="http://schemas.openxmlformats.org/officeDocument/2006/relationships/hyperlink" Target="mailto:randall.scott@btinternet.com" TargetMode="External" /><Relationship Id="rId26" Type="http://schemas.openxmlformats.org/officeDocument/2006/relationships/hyperlink" Target="mailto:plury7@googlemail.com" TargetMode="External" /><Relationship Id="rId27" Type="http://schemas.openxmlformats.org/officeDocument/2006/relationships/hyperlink" Target="mailto:molly@cusu.cam.ac.uk" TargetMode="External" /><Relationship Id="rId28" Type="http://schemas.openxmlformats.org/officeDocument/2006/relationships/hyperlink" Target="mailto:manormillmorris@hotmail.com" TargetMode="External" /><Relationship Id="rId29" Type="http://schemas.openxmlformats.org/officeDocument/2006/relationships/hyperlink" Target="mailto:bagman@peterboroughmorris.co.uk" TargetMode="External" /><Relationship Id="rId30" Type="http://schemas.openxmlformats.org/officeDocument/2006/relationships/hyperlink" Target="mailto:mikestevenspe11@aol.com" TargetMode="External" /><Relationship Id="rId31" Type="http://schemas.openxmlformats.org/officeDocument/2006/relationships/hyperlink" Target="mailto:enquiries@cambridge.gov.uk" TargetMode="External" /><Relationship Id="rId32" Type="http://schemas.openxmlformats.org/officeDocument/2006/relationships/hyperlink" Target="mailto:Heather.bevanhunt@cambridge.gov.uk" TargetMode="External" /><Relationship Id="rId33" Type="http://schemas.openxmlformats.org/officeDocument/2006/relationships/hyperlink" Target="mailto:luke.catchpole@cambridge.gov.uk" TargetMode="External" /><Relationship Id="rId34" Type="http://schemas.openxmlformats.org/officeDocument/2006/relationships/hyperlink" Target="mailto:events@cambridge.gov.uk" TargetMode="External" /><Relationship Id="rId35" Type="http://schemas.openxmlformats.org/officeDocument/2006/relationships/hyperlink" Target="mailto:tim.bick@btinternet.com" TargetMode="External" /><Relationship Id="rId36" Type="http://schemas.openxmlformats.org/officeDocument/2006/relationships/hyperlink" Target="mailto:mike@einval.com" TargetMode="External" /><Relationship Id="rId37" Type="http://schemas.openxmlformats.org/officeDocument/2006/relationships/hyperlink" Target="mailto:damientunnacliffe@yahoo.co.uk" TargetMode="External" /><Relationship Id="rId38" Type="http://schemas.openxmlformats.org/officeDocument/2006/relationships/hyperlink" Target="mailto:manager@michaelhouse.org.uk" TargetMode="External" /><Relationship Id="rId39" Type="http://schemas.openxmlformats.org/officeDocument/2006/relationships/hyperlink" Target="mailto:brian.hansell@ntlworld.com" TargetMode="External" /><Relationship Id="rId40" Type="http://schemas.openxmlformats.org/officeDocument/2006/relationships/hyperlink" Target="mailto:stephanie.ruddy@sja.org.uk" TargetMode="External" /><Relationship Id="rId41" Type="http://schemas.openxmlformats.org/officeDocument/2006/relationships/hyperlink" Target="mailto:wayne.badcock@sja.org.uk" TargetMode="External" /><Relationship Id="rId42" Type="http://schemas.openxmlformats.org/officeDocument/2006/relationships/hyperlink" Target="mailto:Yvonne.Moulton@x-leisure.co.uk" TargetMode="External" /><Relationship Id="rId43" Type="http://schemas.openxmlformats.org/officeDocument/2006/relationships/hyperlink" Target="http://www.x-leisure.co.uk/contact-uscatherine.garner@x-leisure.co.uk" TargetMode="External" /></Relationships>
</file>

<file path=xl/worksheets/_rels/sheet4.xml.rels><?xml version="1.0" encoding="utf-8" standalone="yes"?><Relationships xmlns="http://schemas.openxmlformats.org/package/2006/relationships"><Relationship Id="rId1" Type="http://schemas.openxmlformats.org/officeDocument/2006/relationships/hyperlink" Target="mailto:editor@suffolkfolk.co.uk" TargetMode="External" /><Relationship Id="rId2" Type="http://schemas.openxmlformats.org/officeDocument/2006/relationships/hyperlink" Target="mailto:alan@unicornmagazine.org.uk?SUBJECT=Unicorn%20Magazine%20Message" TargetMode="External" /><Relationship Id="rId3" Type="http://schemas.openxmlformats.org/officeDocument/2006/relationships/hyperlink" Target="mailto:louise.cummings@cambridge-news.co.uk" TargetMode="External" /><Relationship Id="rId4" Type="http://schemas.openxmlformats.org/officeDocument/2006/relationships/hyperlink" Target="http://www.cam.ac.uk/for-staff" TargetMode="External" /><Relationship Id="rId5" Type="http://schemas.openxmlformats.org/officeDocument/2006/relationships/hyperlink" Target="mailto:media@angliastudent.com" TargetMode="External" /><Relationship Id="rId6" Type="http://schemas.openxmlformats.org/officeDocument/2006/relationships/hyperlink" Target="http://www.angliastudent.com/" TargetMode="External" /><Relationship Id="rId7" Type="http://schemas.openxmlformats.org/officeDocument/2006/relationships/hyperlink" Target="mailto:newspapersales@cambridge-news.co.uk" TargetMode="External" /><Relationship Id="rId8" Type="http://schemas.openxmlformats.org/officeDocument/2006/relationships/hyperlink" Target="mailto:newsdesk@cambridge-news.co.uk" TargetMode="External" /><Relationship Id="rId9" Type="http://schemas.openxmlformats.org/officeDocument/2006/relationships/hyperlink" Target="mailto:chris.havergal@cambridge-news.co.uk" TargetMode="External" /><Relationship Id="rId10" Type="http://schemas.openxmlformats.org/officeDocument/2006/relationships/hyperlink" Target="mailto:weeklies@cambridge-news.co.uk" TargetMode="External" /><Relationship Id="rId11" Type="http://schemas.openxmlformats.org/officeDocument/2006/relationships/hyperlink" Target="mailto:cambridgeshire@bbc.co.uk" TargetMode="External" /><Relationship Id="rId12" Type="http://schemas.openxmlformats.org/officeDocument/2006/relationships/hyperlink" Target="mailto:andy.harper@bbc.co.uk" TargetMode="External" /><Relationship Id="rId13" Type="http://schemas.openxmlformats.org/officeDocument/2006/relationships/hyperlink" Target="mailto:heather.noble@bbc.co.uk" TargetMode="External" /><Relationship Id="rId14" Type="http://schemas.openxmlformats.org/officeDocument/2006/relationships/hyperlink" Target="mailto:studio@cambridge105.fm" TargetMode="External" /><Relationship Id="rId15" Type="http://schemas.openxmlformats.org/officeDocument/2006/relationships/hyperlink" Target="mailto:julian@cambridge105.fm" TargetMode="External" /><Relationship Id="rId16" Type="http://schemas.openxmlformats.org/officeDocument/2006/relationships/hyperlink" Target="mailto:cambridgeshire.news@heart.co.uk" TargetMode="External" /><Relationship Id="rId17" Type="http://schemas.openxmlformats.org/officeDocument/2006/relationships/hyperlink" Target="mailto:mark.peters@star107.co.uk" TargetMode="External" /><Relationship Id="rId18" Type="http://schemas.openxmlformats.org/officeDocument/2006/relationships/hyperlink" Target="http://www.star107.co.uk/" TargetMode="External" /><Relationship Id="rId19" Type="http://schemas.openxmlformats.org/officeDocument/2006/relationships/hyperlink" Target="http://www.star107.co.uk/" TargetMode="External" /><Relationship Id="rId20" Type="http://schemas.openxmlformats.org/officeDocument/2006/relationships/hyperlink" Target="http://www.star107.co.uk/" TargetMode="External" /><Relationship Id="rId21" Type="http://schemas.openxmlformats.org/officeDocument/2006/relationships/hyperlink" Target="http://www.zackfm.com/" TargetMode="External" /><Relationship Id="rId22" Type="http://schemas.openxmlformats.org/officeDocument/2006/relationships/hyperlink" Target="mailto:info@visitcambridge.org" TargetMode="External" /><Relationship Id="rId23" Type="http://schemas.openxmlformats.org/officeDocument/2006/relationships/hyperlink" Target="http://www.visitcambridge.org/" TargetMode="External" /><Relationship Id="rId24" Type="http://schemas.openxmlformats.org/officeDocument/2006/relationships/hyperlink" Target="http://visitely.eastcambs.gov.uk/events/whats-on" TargetMode="External" /><Relationship Id="rId25" Type="http://schemas.openxmlformats.org/officeDocument/2006/relationships/hyperlink" Target="http://www.stives-town.info/tourism.asp" TargetMode="External" /><Relationship Id="rId26" Type="http://schemas.openxmlformats.org/officeDocument/2006/relationships/hyperlink" Target="mailto:look.east@bbc.co.uk" TargetMode="External" /><Relationship Id="rId27" Type="http://schemas.openxmlformats.org/officeDocument/2006/relationships/hyperlink" Target="http://www.bbc.co.uk/programmes/b006mj5w" TargetMode="External" /><Relationship Id="rId28" Type="http://schemas.openxmlformats.org/officeDocument/2006/relationships/hyperlink" Target="mailto:info@localsecrets.com" TargetMode="External" /><Relationship Id="rId29" Type="http://schemas.openxmlformats.org/officeDocument/2006/relationships/hyperlink" Target="https://www.localsecrets.com/" TargetMode="External" /></Relationships>
</file>

<file path=xl/worksheets/sheet1.xml><?xml version="1.0" encoding="utf-8"?>
<worksheet xmlns="http://schemas.openxmlformats.org/spreadsheetml/2006/main" xmlns:r="http://schemas.openxmlformats.org/officeDocument/2006/relationships">
  <dimension ref="A1:C22"/>
  <sheetViews>
    <sheetView tabSelected="1" zoomScale="150" zoomScaleNormal="150" workbookViewId="0" topLeftCell="A1">
      <selection activeCell="A1" sqref="A1"/>
    </sheetView>
  </sheetViews>
  <sheetFormatPr defaultColWidth="9.140625" defaultRowHeight="12.75"/>
  <cols>
    <col min="1" max="1" width="20.7109375" style="0" customWidth="1"/>
    <col min="2" max="2" width="2.7109375" style="1" customWidth="1"/>
    <col min="3" max="3" width="20.7109375" style="0" customWidth="1"/>
  </cols>
  <sheetData>
    <row r="1" s="2" customFormat="1" ht="49.5" customHeight="1">
      <c r="B1" s="3" t="s">
        <v>0</v>
      </c>
    </row>
    <row r="2" s="2" customFormat="1" ht="49.5" customHeight="1">
      <c r="B2" s="3" t="s">
        <v>1</v>
      </c>
    </row>
    <row r="3" s="2" customFormat="1" ht="49.5" customHeight="1">
      <c r="B3" s="3" t="s">
        <v>2</v>
      </c>
    </row>
    <row r="4" s="2" customFormat="1" ht="49.5" customHeight="1">
      <c r="B4" s="3"/>
    </row>
    <row r="5" spans="1:3" s="2" customFormat="1" ht="19.5">
      <c r="A5" s="4" t="s">
        <v>3</v>
      </c>
      <c r="B5" s="3"/>
      <c r="C5" s="2" t="s">
        <v>4</v>
      </c>
    </row>
    <row r="6" spans="1:3" s="2" customFormat="1" ht="19.5">
      <c r="A6" s="4" t="s">
        <v>5</v>
      </c>
      <c r="B6" s="3"/>
      <c r="C6" s="2" t="s">
        <v>6</v>
      </c>
    </row>
    <row r="7" spans="1:3" s="2" customFormat="1" ht="19.5">
      <c r="A7" s="4" t="s">
        <v>7</v>
      </c>
      <c r="B7" s="3"/>
      <c r="C7" s="5">
        <v>41769</v>
      </c>
    </row>
    <row r="8" spans="1:2" s="2" customFormat="1" ht="49.5" customHeight="1">
      <c r="A8" s="4"/>
      <c r="B8" s="3"/>
    </row>
    <row r="9" s="6" customFormat="1" ht="15">
      <c r="B9" s="7" t="s">
        <v>8</v>
      </c>
    </row>
    <row r="10" spans="1:3" s="6" customFormat="1" ht="15">
      <c r="A10" s="6">
        <v>1</v>
      </c>
      <c r="B10" s="8"/>
      <c r="C10" s="6" t="s">
        <v>9</v>
      </c>
    </row>
    <row r="11" spans="1:3" s="6" customFormat="1" ht="15">
      <c r="A11" s="6">
        <v>2</v>
      </c>
      <c r="B11" s="8"/>
      <c r="C11" s="6" t="s">
        <v>10</v>
      </c>
    </row>
    <row r="12" spans="1:3" s="6" customFormat="1" ht="15">
      <c r="A12" s="6">
        <v>3</v>
      </c>
      <c r="B12" s="8"/>
      <c r="C12" s="6" t="s">
        <v>11</v>
      </c>
    </row>
    <row r="13" spans="1:3" s="6" customFormat="1" ht="15">
      <c r="A13" s="6">
        <v>4</v>
      </c>
      <c r="B13" s="8"/>
      <c r="C13" s="6" t="s">
        <v>12</v>
      </c>
    </row>
    <row r="14" spans="1:3" s="6" customFormat="1" ht="15">
      <c r="A14" s="6">
        <v>5</v>
      </c>
      <c r="B14" s="8"/>
      <c r="C14" s="6" t="s">
        <v>13</v>
      </c>
    </row>
    <row r="15" spans="1:3" s="6" customFormat="1" ht="15">
      <c r="A15" s="6">
        <v>6</v>
      </c>
      <c r="B15" s="8"/>
      <c r="C15" s="6" t="s">
        <v>14</v>
      </c>
    </row>
    <row r="16" spans="1:3" s="6" customFormat="1" ht="15">
      <c r="A16" s="6">
        <v>7</v>
      </c>
      <c r="B16" s="8"/>
      <c r="C16" s="6" t="s">
        <v>15</v>
      </c>
    </row>
    <row r="17" s="6" customFormat="1" ht="15">
      <c r="B17" s="8"/>
    </row>
    <row r="18" s="6" customFormat="1" ht="15">
      <c r="B18" s="8"/>
    </row>
    <row r="19" spans="1:3" ht="15">
      <c r="A19" s="6"/>
      <c r="C19" s="6"/>
    </row>
    <row r="20" spans="1:3" ht="15">
      <c r="A20" s="6"/>
      <c r="C20" s="6"/>
    </row>
    <row r="21" spans="1:3" ht="15">
      <c r="A21" s="6"/>
      <c r="C21" s="6"/>
    </row>
    <row r="22" ht="15">
      <c r="A22" s="6"/>
    </row>
  </sheetData>
  <printOptions horizontalCentered="1" verticalCentered="1"/>
  <pageMargins left="0.7479166666666667" right="0.7479166666666667" top="1.18125" bottom="0.9840277777777777" header="0.5118055555555555" footer="0.5118055555555555"/>
  <pageSetup horizontalDpi="300" verticalDpi="300" orientation="portrait" paperSize="9"/>
  <headerFooter alignWithMargins="0">
    <oddHeader>&amp;L&amp;"Monotype Corsiva,Regular"&amp;16Joint Morris Organisations
The Morris Ring&amp;C&amp;"Monotype Corsiva,Regular"&amp;16&amp;A&amp;R&amp;"Monotype Corsiva,Regular"&amp;16Cambridge Morris Men</oddHeader>
    <oddFooter>&amp;L&amp;F&amp;Cpage &amp;P of &amp;N&amp;R&amp;T on &amp;D</oddFooter>
  </headerFooter>
</worksheet>
</file>

<file path=xl/worksheets/sheet10.xml><?xml version="1.0" encoding="utf-8"?>
<worksheet xmlns="http://schemas.openxmlformats.org/spreadsheetml/2006/main" xmlns:r="http://schemas.openxmlformats.org/officeDocument/2006/relationships">
  <dimension ref="A1:AE33"/>
  <sheetViews>
    <sheetView zoomScale="150" zoomScaleNormal="150" workbookViewId="0" topLeftCell="A1">
      <selection activeCell="C1" sqref="C1"/>
    </sheetView>
  </sheetViews>
  <sheetFormatPr defaultColWidth="9.140625" defaultRowHeight="12.75"/>
  <cols>
    <col min="1" max="2" width="0" style="0" hidden="1" customWidth="1"/>
    <col min="3" max="3" width="18.00390625" style="0" customWidth="1"/>
    <col min="4" max="31" width="4.28125" style="0" customWidth="1"/>
  </cols>
  <sheetData>
    <row r="1" spans="5:30" s="127" customFormat="1" ht="12">
      <c r="E1" s="128" t="s">
        <v>1004</v>
      </c>
      <c r="F1" s="127">
        <v>800</v>
      </c>
      <c r="G1" s="127" t="s">
        <v>1005</v>
      </c>
      <c r="AC1" s="127">
        <f>COUNTA(C3:C31)</f>
        <v>29</v>
      </c>
      <c r="AD1" s="127" t="s">
        <v>1006</v>
      </c>
    </row>
    <row r="2" spans="1:31" s="133" customFormat="1" ht="90">
      <c r="A2" s="129" t="s">
        <v>906</v>
      </c>
      <c r="B2" s="130" t="s">
        <v>907</v>
      </c>
      <c r="C2" s="131" t="s">
        <v>1007</v>
      </c>
      <c r="D2" s="132" t="str">
        <f ca="1">OFFSET($C$31,COLUMN($D2)-COLUMN(D2),0)</f>
        <v>Sussex Street</v>
      </c>
      <c r="E2" s="132" t="str">
        <f ca="1">OFFSET($C$31,COLUMN($D2)-COLUMN(E2),0)</f>
        <v>Sidney Street</v>
      </c>
      <c r="F2" s="132" t="str">
        <f ca="1">OFFSET($C$31,COLUMN($D2)-COLUMN(F2),0)</f>
        <v>Gt St Mary's</v>
      </c>
      <c r="G2" s="132" t="str">
        <f ca="1">OFFSET($C$31,COLUMN($D2)-COLUMN(G2),0)</f>
        <v>Guildhall, Peas Hill</v>
      </c>
      <c r="H2" s="132" t="str">
        <f ca="1">OFFSET($C$31,COLUMN($D2)-COLUMN(H2),0)</f>
        <v>Guildhall, Talos</v>
      </c>
      <c r="I2" s="132" t="str">
        <f ca="1">OFFSET($C$31,COLUMN($D2)-COLUMN(I2),0)</f>
        <v>Guildhall, Mkt. Hill</v>
      </c>
      <c r="J2" s="132" t="str">
        <f ca="1">OFFSET($C$31,COLUMN($D2)-COLUMN(J2),0)</f>
        <v>Silver Street</v>
      </c>
      <c r="K2" s="132" t="str">
        <f ca="1">OFFSET($C$31,COLUMN($D2)-COLUMN(K2),0)</f>
        <v>Laundress Green</v>
      </c>
      <c r="L2" s="132" t="str">
        <f ca="1">OFFSET($C$31,COLUMN($D2)-COLUMN(L2),0)</f>
        <v>Regent Terrace, N</v>
      </c>
      <c r="M2" s="132" t="str">
        <f ca="1">OFFSET($C$31,COLUMN($D2)-COLUMN(M2),0)</f>
        <v>Regent Terrace, S</v>
      </c>
      <c r="N2" s="132" t="str">
        <f ca="1">OFFSET($C$31,COLUMN($D2)-COLUMN(N2),0)</f>
        <v>Gresham Road</v>
      </c>
      <c r="O2" s="132" t="str">
        <f ca="1">OFFSET($C$31,COLUMN($D2)-COLUMN(O2),0)</f>
        <v>Mawson Road</v>
      </c>
      <c r="P2" s="132" t="str">
        <f ca="1">OFFSET($C$31,COLUMN($D2)-COLUMN(P2),0)</f>
        <v>Covent Garden</v>
      </c>
      <c r="Q2" s="132" t="str">
        <f ca="1">OFFSET($C$31,COLUMN($D2)-COLUMN(Q2),0)</f>
        <v>Ditchburn Place</v>
      </c>
      <c r="R2" s="132" t="str">
        <f ca="1">OFFSET($C$31,COLUMN($D2)-COLUMN(R2),0)</f>
        <v>opposite Al-Amin</v>
      </c>
      <c r="S2" s="132" t="str">
        <f ca="1">OFFSET($C$31,COLUMN($D2)-COLUMN(S2),0)</f>
        <v>The Cambridge Blue</v>
      </c>
      <c r="T2" s="132" t="str">
        <f ca="1">OFFSET($C$31,COLUMN($D2)-COLUMN(T2),0)</f>
        <v>Alexandra Arms</v>
      </c>
      <c r="U2" s="132" t="str">
        <f ca="1">OFFSET($C$31,COLUMN($D2)-COLUMN(U2),0)</f>
        <v>Bradmore Court</v>
      </c>
      <c r="V2" s="132" t="str">
        <f ca="1">OFFSET($C$31,COLUMN($D2)-COLUMN(V2),0)</f>
        <v>The Tram Depot</v>
      </c>
      <c r="W2" s="132" t="str">
        <f ca="1">OFFSET($C$31,COLUMN($D2)-COLUMN(W2),0)</f>
        <v>Eden Street</v>
      </c>
      <c r="X2" s="132" t="str">
        <f ca="1">OFFSET($C$31,COLUMN($D2)-COLUMN(X2),0)</f>
        <v>Burleigh St.</v>
      </c>
      <c r="Y2" s="132" t="str">
        <f ca="1">OFFSET($C$31,COLUMN($D2)-COLUMN(Y2),0)</f>
        <v>Fitzroy St</v>
      </c>
      <c r="Z2" s="132" t="str">
        <f ca="1">OFFSET($C$31,COLUMN($D2)-COLUMN(Z2),0)</f>
        <v>Christ's Pieces</v>
      </c>
      <c r="AA2" s="132" t="str">
        <f ca="1">OFFSET($C$31,COLUMN($D2)-COLUMN(AA2),0)</f>
        <v>Pike's Walk</v>
      </c>
      <c r="AB2" s="132" t="str">
        <f ca="1">OFFSET($C$31,COLUMN($D2)-COLUMN(AB2),0)</f>
        <v>Butt Green</v>
      </c>
      <c r="AC2" s="132" t="str">
        <f ca="1">OFFSET($C$31,COLUMN($D2)-COLUMN(AC2),0)</f>
        <v>Fort St George</v>
      </c>
      <c r="AD2" s="132" t="str">
        <f ca="1">OFFSET($C$31,COLUMN($D2)-COLUMN(AD2),0)</f>
        <v>Jesus Green</v>
      </c>
      <c r="AE2" s="132" t="str">
        <f ca="1">OFFSET($C$31,COLUMN($D2)-COLUMN(AE2),0)</f>
        <v>The Maypole</v>
      </c>
    </row>
    <row r="3" spans="1:31" ht="12">
      <c r="A3" s="134">
        <f>'Busking Places'!C3</f>
        <v>544762</v>
      </c>
      <c r="B3" s="135">
        <f>'Busking Places'!D3</f>
        <v>258983</v>
      </c>
      <c r="C3" s="9" t="str">
        <f>'Busking Places'!B3</f>
        <v>Quayside</v>
      </c>
      <c r="D3" s="136">
        <f>IF(ROW(D3)+COLUMN(D3)&gt;$AC$1+5,"",IF(ABS($A3-D$32)+ABS($B3-D$33)&gt;$F$1,"",ABS($A3-D$32)+ABS($B3-D$33)))</f>
        <v>631</v>
      </c>
      <c r="E3" s="136">
        <f>IF(ROW(E3)+COLUMN(E3)&gt;$AC$1+5,"",IF(ABS($A3-E$32)+ABS($B3-E$33)&gt;$F$1,"",ABS($A3-E$32)+ABS($B3-E$33)))</f>
        <v>746</v>
      </c>
      <c r="F3" s="136">
        <f>IF(ROW(F3)+COLUMN(F3)&gt;$AC$1+5,"",IF(ABS($A3-F$32)+ABS($B3-F$33)&gt;$F$1,"",ABS($A3-F$32)+ABS($B3-F$33)))</f>
        <v>601</v>
      </c>
      <c r="G3" s="136">
        <f>IF(ROW(G3)+COLUMN(G3)&gt;$AC$1+5,"",IF(ABS($A3-G$32)+ABS($B3-G$33)&gt;$F$1,"",ABS($A3-G$32)+ABS($B3-G$33)))</f>
        <v>714</v>
      </c>
      <c r="H3" s="137">
        <f>IF(ROW(H3)+COLUMN(H3)&gt;$AC$1+5,"",IF(ABS($A3-H$32)+ABS($B3-H$33)&gt;$F$1,"",ABS($A3-H$32)+ABS($B3-H$33)))</f>
        <v>782</v>
      </c>
      <c r="I3" s="136">
        <f>IF(ROW(I3)+COLUMN(I3)&gt;$AC$1+5,"",IF(ABS($A3-I$32)+ABS($B3-I$33)&gt;$F$1,"",ABS($A3-I$32)+ABS($B3-I$33)))</f>
        <v>710</v>
      </c>
      <c r="J3" s="136">
        <f>IF(ROW(J3)+COLUMN(J3)&gt;$AC$1+5,"",IF(ABS($A3-J$32)+ABS($B3-J$33)&gt;$F$1,"",ABS($A3-J$32)+ABS($B3-J$33)))</f>
      </c>
      <c r="K3" s="136">
        <f>IF(ROW(K3)+COLUMN(K3)&gt;$AC$1+5,"",IF(ABS($A3-K$32)+ABS($B3-K$33)&gt;$F$1,"",ABS($A3-K$32)+ABS($B3-K$33)))</f>
      </c>
      <c r="L3" s="137">
        <f>IF(ROW(L3)+COLUMN(L3)&gt;$AC$1+5,"",IF(ABS($A3-L$32)+ABS($B3-L$33)&gt;$F$1,"",ABS($A3-L$32)+ABS($B3-L$33)))</f>
      </c>
      <c r="M3" s="136">
        <f>IF(ROW(M3)+COLUMN(M3)&gt;$AC$1+5,"",IF(ABS($A3-M$32)+ABS($B3-M$33)&gt;$F$1,"",ABS($A3-M$32)+ABS($B3-M$33)))</f>
      </c>
      <c r="N3" s="136">
        <f>IF(ROW(N3)+COLUMN(N3)&gt;$AC$1+5,"",IF(ABS($A3-N$32)+ABS($B3-N$33)&gt;$F$1,"",ABS($A3-N$32)+ABS($B3-N$33)))</f>
      </c>
      <c r="O3" s="136">
        <f>IF(ROW(O3)+COLUMN(O3)&gt;$AC$1+5,"",IF(ABS($A3-O$32)+ABS($B3-O$33)&gt;$F$1,"",ABS($A3-O$32)+ABS($B3-O$33)))</f>
      </c>
      <c r="P3" s="137">
        <f>IF(ROW(P3)+COLUMN(P3)&gt;$AC$1+5,"",IF(ABS($A3-P$32)+ABS($B3-P$33)&gt;$F$1,"",ABS($A3-P$32)+ABS($B3-P$33)))</f>
      </c>
      <c r="Q3" s="136">
        <f>IF(ROW(Q3)+COLUMN(Q3)&gt;$AC$1+5,"",IF(ABS($A3-Q$32)+ABS($B3-Q$33)&gt;$F$1,"",ABS($A3-Q$32)+ABS($B3-Q$33)))</f>
      </c>
      <c r="R3" s="136">
        <f>IF(ROW(R3)+COLUMN(R3)&gt;$AC$1+5,"",IF(ABS($A3-R$32)+ABS($B3-R$33)&gt;$F$1,"",ABS($A3-R$32)+ABS($B3-R$33)))</f>
      </c>
      <c r="S3" s="136">
        <f>IF(ROW(S3)+COLUMN(S3)&gt;$AC$1+5,"",IF(ABS($A3-S$32)+ABS($B3-S$33)&gt;$F$1,"",ABS($A3-S$32)+ABS($B3-S$33)))</f>
      </c>
      <c r="T3" s="137">
        <f>IF(ROW(T3)+COLUMN(T3)&gt;$AC$1+5,"",IF(ABS($A3-T$32)+ABS($B3-T$33)&gt;$F$1,"",ABS($A3-T$32)+ABS($B3-T$33)))</f>
      </c>
      <c r="U3" s="136">
        <f>IF(ROW(U3)+COLUMN(U3)&gt;$AC$1+5,"",IF(ABS($A3-U$32)+ABS($B3-U$33)&gt;$F$1,"",ABS($A3-U$32)+ABS($B3-U$33)))</f>
      </c>
      <c r="V3" s="136">
        <f>IF(ROW(V3)+COLUMN(V3)&gt;$AC$1+5,"",IF(ABS($A3-V$32)+ABS($B3-V$33)&gt;$F$1,"",ABS($A3-V$32)+ABS($B3-V$33)))</f>
      </c>
      <c r="W3" s="136">
        <f>IF(ROW(W3)+COLUMN(W3)&gt;$AC$1+5,"",IF(ABS($A3-W$32)+ABS($B3-W$33)&gt;$F$1,"",ABS($A3-W$32)+ABS($B3-W$33)))</f>
      </c>
      <c r="X3" s="137">
        <f>IF(ROW(X3)+COLUMN(X3)&gt;$AC$1+5,"",IF(ABS($A3-X$32)+ABS($B3-X$33)&gt;$F$1,"",ABS($A3-X$32)+ABS($B3-X$33)))</f>
      </c>
      <c r="Y3" s="136">
        <f>IF(ROW(Y3)+COLUMN(Y3)&gt;$AC$1+5,"",IF(ABS($A3-Y$32)+ABS($B3-Y$33)&gt;$F$1,"",ABS($A3-Y$32)+ABS($B3-Y$33)))</f>
      </c>
      <c r="Z3" s="136">
        <f>IF(ROW(Z3)+COLUMN(Z3)&gt;$AC$1+5,"",IF(ABS($A3-Z$32)+ABS($B3-Z$33)&gt;$F$1,"",ABS($A3-Z$32)+ABS($B3-Z$33)))</f>
      </c>
      <c r="AA3" s="136">
        <f>IF(ROW(AA3)+COLUMN(AA3)&gt;$AC$1+5,"",IF(ABS($A3-AA$32)+ABS($B3-AA$33)&gt;$F$1,"",ABS($A3-AA$32)+ABS($B3-AA$33)))</f>
      </c>
      <c r="AB3" s="137">
        <f>IF(ROW(AB3)+COLUMN(AB3)&gt;$AC$1+5,"",IF(ABS($A3-AB$32)+ABS($B3-AB$33)&gt;$F$1,"",ABS($A3-AB$32)+ABS($B3-AB$33)))</f>
      </c>
      <c r="AC3" s="136">
        <f>IF(ROW(AC3)+COLUMN(AC3)&gt;$AC$1+5,"",IF(ABS($A3-AC$32)+ABS($B3-AC$33)&gt;$F$1,"",ABS($A3-AC$32)+ABS($B3-AC$33)))</f>
      </c>
      <c r="AD3" s="136">
        <f>IF(ROW(AD3)+COLUMN(AD3)&gt;$AC$1+5,"",IF(ABS($A3-AD$32)+ABS($B3-AD$33)&gt;$F$1,"",ABS($A3-AD$32)+ABS($B3-AD$33)))</f>
        <v>427</v>
      </c>
      <c r="AE3" s="136">
        <f>IF(ROW(AE3)+COLUMN(AE3)&gt;$AC$1+5,"",IF(ABS($A3-AE$32)+ABS($B3-AE$33)&gt;$F$1,"",ABS($A3-AE$32)+ABS($B3-AE$33)))</f>
        <v>203</v>
      </c>
    </row>
    <row r="4" spans="1:31" ht="12">
      <c r="A4" s="134">
        <f>'Busking Places'!C4</f>
        <v>544920</v>
      </c>
      <c r="B4" s="135">
        <f>'Busking Places'!D4</f>
        <v>258938</v>
      </c>
      <c r="C4" s="9" t="str">
        <f>'Busking Places'!B4</f>
        <v>The Maypole</v>
      </c>
      <c r="D4" s="136">
        <f>IF(ROW(D4)+COLUMN(D4)&gt;$AC$1+5,"",IF(ABS($A4-D$32)+ABS($B4-D$33)&gt;$F$1,"",ABS($A4-D$32)+ABS($B4-D$33)))</f>
        <v>428</v>
      </c>
      <c r="E4" s="136">
        <f>IF(ROW(E4)+COLUMN(E4)&gt;$AC$1+5,"",IF(ABS($A4-E$32)+ABS($B4-E$33)&gt;$F$1,"",ABS($A4-E$32)+ABS($B4-E$33)))</f>
        <v>543</v>
      </c>
      <c r="F4" s="136">
        <f>IF(ROW(F4)+COLUMN(F4)&gt;$AC$1+5,"",IF(ABS($A4-F$32)+ABS($B4-F$33)&gt;$F$1,"",ABS($A4-F$32)+ABS($B4-F$33)))</f>
        <v>574</v>
      </c>
      <c r="G4" s="136">
        <f>IF(ROW(G4)+COLUMN(G4)&gt;$AC$1+5,"",IF(ABS($A4-G$32)+ABS($B4-G$33)&gt;$F$1,"",ABS($A4-G$32)+ABS($B4-G$33)))</f>
        <v>585</v>
      </c>
      <c r="H4" s="137">
        <f>IF(ROW(H4)+COLUMN(H4)&gt;$AC$1+5,"",IF(ABS($A4-H$32)+ABS($B4-H$33)&gt;$F$1,"",ABS($A4-H$32)+ABS($B4-H$33)))</f>
        <v>579</v>
      </c>
      <c r="I4" s="136">
        <f>IF(ROW(I4)+COLUMN(I4)&gt;$AC$1+5,"",IF(ABS($A4-I$32)+ABS($B4-I$33)&gt;$F$1,"",ABS($A4-I$32)+ABS($B4-I$33)))</f>
        <v>517</v>
      </c>
      <c r="J4" s="136">
        <f>IF(ROW(J4)+COLUMN(J4)&gt;$AC$1+5,"",IF(ABS($A4-J$32)+ABS($B4-J$33)&gt;$F$1,"",ABS($A4-J$32)+ABS($B4-J$33)))</f>
      </c>
      <c r="K4" s="136">
        <f>IF(ROW(K4)+COLUMN(K4)&gt;$AC$1+5,"",IF(ABS($A4-K$32)+ABS($B4-K$33)&gt;$F$1,"",ABS($A4-K$32)+ABS($B4-K$33)))</f>
      </c>
      <c r="L4" s="137">
        <f>IF(ROW(L4)+COLUMN(L4)&gt;$AC$1+5,"",IF(ABS($A4-L$32)+ABS($B4-L$33)&gt;$F$1,"",ABS($A4-L$32)+ABS($B4-L$33)))</f>
      </c>
      <c r="M4" s="136">
        <f>IF(ROW(M4)+COLUMN(M4)&gt;$AC$1+5,"",IF(ABS($A4-M$32)+ABS($B4-M$33)&gt;$F$1,"",ABS($A4-M$32)+ABS($B4-M$33)))</f>
      </c>
      <c r="N4" s="136">
        <f>IF(ROW(N4)+COLUMN(N4)&gt;$AC$1+5,"",IF(ABS($A4-N$32)+ABS($B4-N$33)&gt;$F$1,"",ABS($A4-N$32)+ABS($B4-N$33)))</f>
      </c>
      <c r="O4" s="136">
        <f>IF(ROW(O4)+COLUMN(O4)&gt;$AC$1+5,"",IF(ABS($A4-O$32)+ABS($B4-O$33)&gt;$F$1,"",ABS($A4-O$32)+ABS($B4-O$33)))</f>
      </c>
      <c r="P4" s="137">
        <f>IF(ROW(P4)+COLUMN(P4)&gt;$AC$1+5,"",IF(ABS($A4-P$32)+ABS($B4-P$33)&gt;$F$1,"",ABS($A4-P$32)+ABS($B4-P$33)))</f>
      </c>
      <c r="Q4" s="136">
        <f>IF(ROW(Q4)+COLUMN(Q4)&gt;$AC$1+5,"",IF(ABS($A4-Q$32)+ABS($B4-Q$33)&gt;$F$1,"",ABS($A4-Q$32)+ABS($B4-Q$33)))</f>
      </c>
      <c r="R4" s="136">
        <f>IF(ROW(R4)+COLUMN(R4)&gt;$AC$1+5,"",IF(ABS($A4-R$32)+ABS($B4-R$33)&gt;$F$1,"",ABS($A4-R$32)+ABS($B4-R$33)))</f>
      </c>
      <c r="S4" s="136">
        <f>IF(ROW(S4)+COLUMN(S4)&gt;$AC$1+5,"",IF(ABS($A4-S$32)+ABS($B4-S$33)&gt;$F$1,"",ABS($A4-S$32)+ABS($B4-S$33)))</f>
      </c>
      <c r="T4" s="137">
        <f>IF(ROW(T4)+COLUMN(T4)&gt;$AC$1+5,"",IF(ABS($A4-T$32)+ABS($B4-T$33)&gt;$F$1,"",ABS($A4-T$32)+ABS($B4-T$33)))</f>
      </c>
      <c r="U4" s="136">
        <f>IF(ROW(U4)+COLUMN(U4)&gt;$AC$1+5,"",IF(ABS($A4-U$32)+ABS($B4-U$33)&gt;$F$1,"",ABS($A4-U$32)+ABS($B4-U$33)))</f>
      </c>
      <c r="V4" s="136">
        <f>IF(ROW(V4)+COLUMN(V4)&gt;$AC$1+5,"",IF(ABS($A4-V$32)+ABS($B4-V$33)&gt;$F$1,"",ABS($A4-V$32)+ABS($B4-V$33)))</f>
      </c>
      <c r="W4" s="136">
        <f>IF(ROW(W4)+COLUMN(W4)&gt;$AC$1+5,"",IF(ABS($A4-W$32)+ABS($B4-W$33)&gt;$F$1,"",ABS($A4-W$32)+ABS($B4-W$33)))</f>
      </c>
      <c r="X4" s="137">
        <f>IF(ROW(X4)+COLUMN(X4)&gt;$AC$1+5,"",IF(ABS($A4-X$32)+ABS($B4-X$33)&gt;$F$1,"",ABS($A4-X$32)+ABS($B4-X$33)))</f>
      </c>
      <c r="Y4" s="136">
        <f>IF(ROW(Y4)+COLUMN(Y4)&gt;$AC$1+5,"",IF(ABS($A4-Y$32)+ABS($B4-Y$33)&gt;$F$1,"",ABS($A4-Y$32)+ABS($B4-Y$33)))</f>
      </c>
      <c r="Z4" s="136">
        <f>IF(ROW(Z4)+COLUMN(Z4)&gt;$AC$1+5,"",IF(ABS($A4-Z$32)+ABS($B4-Z$33)&gt;$F$1,"",ABS($A4-Z$32)+ABS($B4-Z$33)))</f>
        <v>777</v>
      </c>
      <c r="AA4" s="136">
        <f>IF(ROW(AA4)+COLUMN(AA4)&gt;$AC$1+5,"",IF(ABS($A4-AA$32)+ABS($B4-AA$33)&gt;$F$1,"",ABS($A4-AA$32)+ABS($B4-AA$33)))</f>
        <v>688</v>
      </c>
      <c r="AB4" s="137">
        <f>IF(ROW(AB4)+COLUMN(AB4)&gt;$AC$1+5,"",IF(ABS($A4-AB$32)+ABS($B4-AB$33)&gt;$F$1,"",ABS($A4-AB$32)+ABS($B4-AB$33)))</f>
        <v>635</v>
      </c>
      <c r="AC4" s="136">
        <f>IF(ROW(AC4)+COLUMN(AC4)&gt;$AC$1+5,"",IF(ABS($A4-AC$32)+ABS($B4-AC$33)&gt;$F$1,"",ABS($A4-AC$32)+ABS($B4-AC$33)))</f>
      </c>
      <c r="AD4" s="136">
        <f>IF(ROW(AD4)+COLUMN(AD4)&gt;$AC$1+5,"",IF(ABS($A4-AD$32)+ABS($B4-AD$33)&gt;$F$1,"",ABS($A4-AD$32)+ABS($B4-AD$33)))</f>
        <v>314</v>
      </c>
      <c r="AE4" s="136">
        <f>IF(ROW(AE4)+COLUMN(AE4)&gt;$AC$1+5,"",IF(ABS($A4-AE$32)+ABS($B4-AE$33)&gt;$F$1,"",ABS($A4-AE$32)+ABS($B4-AE$33)))</f>
      </c>
    </row>
    <row r="5" spans="1:31" ht="12">
      <c r="A5" s="134">
        <f>'Busking Places'!C5</f>
        <v>544957</v>
      </c>
      <c r="B5" s="135">
        <f>'Busking Places'!D5</f>
        <v>259215</v>
      </c>
      <c r="C5" s="9" t="str">
        <f>'Busking Places'!B5</f>
        <v>Jesus Green</v>
      </c>
      <c r="D5" s="136">
        <f>IF(ROW(D5)+COLUMN(D5)&gt;$AC$1+5,"",IF(ABS($A5-D$32)+ABS($B5-D$33)&gt;$F$1,"",ABS($A5-D$32)+ABS($B5-D$33)))</f>
        <v>668</v>
      </c>
      <c r="E5" s="136">
        <f>IF(ROW(E5)+COLUMN(E5)&gt;$AC$1+5,"",IF(ABS($A5-E$32)+ABS($B5-E$33)&gt;$F$1,"",ABS($A5-E$32)+ABS($B5-E$33)))</f>
        <v>783</v>
      </c>
      <c r="F5" s="136">
        <f>IF(ROW(F5)+COLUMN(F5)&gt;$AC$1+5,"",IF(ABS($A5-F$32)+ABS($B5-F$33)&gt;$F$1,"",ABS($A5-F$32)+ABS($B5-F$33)))</f>
      </c>
      <c r="G5" s="136">
        <f>IF(ROW(G5)+COLUMN(G5)&gt;$AC$1+5,"",IF(ABS($A5-G$32)+ABS($B5-G$33)&gt;$F$1,"",ABS($A5-G$32)+ABS($B5-G$33)))</f>
      </c>
      <c r="H5" s="137">
        <f>IF(ROW(H5)+COLUMN(H5)&gt;$AC$1+5,"",IF(ABS($A5-H$32)+ABS($B5-H$33)&gt;$F$1,"",ABS($A5-H$32)+ABS($B5-H$33)))</f>
      </c>
      <c r="I5" s="136">
        <f>IF(ROW(I5)+COLUMN(I5)&gt;$AC$1+5,"",IF(ABS($A5-I$32)+ABS($B5-I$33)&gt;$F$1,"",ABS($A5-I$32)+ABS($B5-I$33)))</f>
      </c>
      <c r="J5" s="136">
        <f>IF(ROW(J5)+COLUMN(J5)&gt;$AC$1+5,"",IF(ABS($A5-J$32)+ABS($B5-J$33)&gt;$F$1,"",ABS($A5-J$32)+ABS($B5-J$33)))</f>
      </c>
      <c r="K5" s="136">
        <f>IF(ROW(K5)+COLUMN(K5)&gt;$AC$1+5,"",IF(ABS($A5-K$32)+ABS($B5-K$33)&gt;$F$1,"",ABS($A5-K$32)+ABS($B5-K$33)))</f>
      </c>
      <c r="L5" s="137">
        <f>IF(ROW(L5)+COLUMN(L5)&gt;$AC$1+5,"",IF(ABS($A5-L$32)+ABS($B5-L$33)&gt;$F$1,"",ABS($A5-L$32)+ABS($B5-L$33)))</f>
      </c>
      <c r="M5" s="136">
        <f>IF(ROW(M5)+COLUMN(M5)&gt;$AC$1+5,"",IF(ABS($A5-M$32)+ABS($B5-M$33)&gt;$F$1,"",ABS($A5-M$32)+ABS($B5-M$33)))</f>
      </c>
      <c r="N5" s="136">
        <f>IF(ROW(N5)+COLUMN(N5)&gt;$AC$1+5,"",IF(ABS($A5-N$32)+ABS($B5-N$33)&gt;$F$1,"",ABS($A5-N$32)+ABS($B5-N$33)))</f>
      </c>
      <c r="O5" s="136">
        <f>IF(ROW(O5)+COLUMN(O5)&gt;$AC$1+5,"",IF(ABS($A5-O$32)+ABS($B5-O$33)&gt;$F$1,"",ABS($A5-O$32)+ABS($B5-O$33)))</f>
      </c>
      <c r="P5" s="137">
        <f>IF(ROW(P5)+COLUMN(P5)&gt;$AC$1+5,"",IF(ABS($A5-P$32)+ABS($B5-P$33)&gt;$F$1,"",ABS($A5-P$32)+ABS($B5-P$33)))</f>
      </c>
      <c r="Q5" s="136">
        <f>IF(ROW(Q5)+COLUMN(Q5)&gt;$AC$1+5,"",IF(ABS($A5-Q$32)+ABS($B5-Q$33)&gt;$F$1,"",ABS($A5-Q$32)+ABS($B5-Q$33)))</f>
      </c>
      <c r="R5" s="136">
        <f>IF(ROW(R5)+COLUMN(R5)&gt;$AC$1+5,"",IF(ABS($A5-R$32)+ABS($B5-R$33)&gt;$F$1,"",ABS($A5-R$32)+ABS($B5-R$33)))</f>
      </c>
      <c r="S5" s="136">
        <f>IF(ROW(S5)+COLUMN(S5)&gt;$AC$1+5,"",IF(ABS($A5-S$32)+ABS($B5-S$33)&gt;$F$1,"",ABS($A5-S$32)+ABS($B5-S$33)))</f>
      </c>
      <c r="T5" s="137">
        <f>IF(ROW(T5)+COLUMN(T5)&gt;$AC$1+5,"",IF(ABS($A5-T$32)+ABS($B5-T$33)&gt;$F$1,"",ABS($A5-T$32)+ABS($B5-T$33)))</f>
      </c>
      <c r="U5" s="136">
        <f>IF(ROW(U5)+COLUMN(U5)&gt;$AC$1+5,"",IF(ABS($A5-U$32)+ABS($B5-U$33)&gt;$F$1,"",ABS($A5-U$32)+ABS($B5-U$33)))</f>
      </c>
      <c r="V5" s="136">
        <f>IF(ROW(V5)+COLUMN(V5)&gt;$AC$1+5,"",IF(ABS($A5-V$32)+ABS($B5-V$33)&gt;$F$1,"",ABS($A5-V$32)+ABS($B5-V$33)))</f>
      </c>
      <c r="W5" s="136">
        <f>IF(ROW(W5)+COLUMN(W5)&gt;$AC$1+5,"",IF(ABS($A5-W$32)+ABS($B5-W$33)&gt;$F$1,"",ABS($A5-W$32)+ABS($B5-W$33)))</f>
      </c>
      <c r="X5" s="137">
        <f>IF(ROW(X5)+COLUMN(X5)&gt;$AC$1+5,"",IF(ABS($A5-X$32)+ABS($B5-X$33)&gt;$F$1,"",ABS($A5-X$32)+ABS($B5-X$33)))</f>
      </c>
      <c r="Y5" s="136">
        <f>IF(ROW(Y5)+COLUMN(Y5)&gt;$AC$1+5,"",IF(ABS($A5-Y$32)+ABS($B5-Y$33)&gt;$F$1,"",ABS($A5-Y$32)+ABS($B5-Y$33)))</f>
      </c>
      <c r="Z5" s="136">
        <f>IF(ROW(Z5)+COLUMN(Z5)&gt;$AC$1+5,"",IF(ABS($A5-Z$32)+ABS($B5-Z$33)&gt;$F$1,"",ABS($A5-Z$32)+ABS($B5-Z$33)))</f>
      </c>
      <c r="AA5" s="136">
        <f>IF(ROW(AA5)+COLUMN(AA5)&gt;$AC$1+5,"",IF(ABS($A5-AA$32)+ABS($B5-AA$33)&gt;$F$1,"",ABS($A5-AA$32)+ABS($B5-AA$33)))</f>
      </c>
      <c r="AB5" s="137">
        <f>IF(ROW(AB5)+COLUMN(AB5)&gt;$AC$1+5,"",IF(ABS($A5-AB$32)+ABS($B5-AB$33)&gt;$F$1,"",ABS($A5-AB$32)+ABS($B5-AB$33)))</f>
      </c>
      <c r="AC5" s="136">
        <f>IF(ROW(AC5)+COLUMN(AC5)&gt;$AC$1+5,"",IF(ABS($A5-AC$32)+ABS($B5-AC$33)&gt;$F$1,"",ABS($A5-AC$32)+ABS($B5-AC$33)))</f>
        <v>561</v>
      </c>
      <c r="AD5" s="136">
        <f>IF(ROW(AD5)+COLUMN(AD5)&gt;$AC$1+5,"",IF(ABS($A5-AD$32)+ABS($B5-AD$33)&gt;$F$1,"",ABS($A5-AD$32)+ABS($B5-AD$33)))</f>
      </c>
      <c r="AE5" s="136">
        <f>IF(ROW(AE5)+COLUMN(AE5)&gt;$AC$1+5,"",IF(ABS($A5-AE$32)+ABS($B5-AE$33)&gt;$F$1,"",ABS($A5-AE$32)+ABS($B5-AE$33)))</f>
      </c>
    </row>
    <row r="6" spans="1:31" ht="12">
      <c r="A6" s="134">
        <f>'Busking Places'!C6</f>
        <v>545465</v>
      </c>
      <c r="B6" s="135">
        <f>'Busking Places'!D6</f>
        <v>259268</v>
      </c>
      <c r="C6" s="138" t="str">
        <f>'Busking Places'!B6</f>
        <v>Fort St George</v>
      </c>
      <c r="D6" s="137">
        <f>IF(ROW(D6)+COLUMN(D6)&gt;$AC$1+5,"",IF(ABS($A6-D$32)+ABS($B6-D$33)&gt;$F$1,"",ABS($A6-D$32)+ABS($B6-D$33)))</f>
      </c>
      <c r="E6" s="137">
        <f>IF(ROW(E6)+COLUMN(E6)&gt;$AC$1+5,"",IF(ABS($A6-E$32)+ABS($B6-E$33)&gt;$F$1,"",ABS($A6-E$32)+ABS($B6-E$33)))</f>
      </c>
      <c r="F6" s="137">
        <f>IF(ROW(F6)+COLUMN(F6)&gt;$AC$1+5,"",IF(ABS($A6-F$32)+ABS($B6-F$33)&gt;$F$1,"",ABS($A6-F$32)+ABS($B6-F$33)))</f>
      </c>
      <c r="G6" s="137">
        <f>IF(ROW(G6)+COLUMN(G6)&gt;$AC$1+5,"",IF(ABS($A6-G$32)+ABS($B6-G$33)&gt;$F$1,"",ABS($A6-G$32)+ABS($B6-G$33)))</f>
      </c>
      <c r="H6" s="137">
        <f>IF(ROW(H6)+COLUMN(H6)&gt;$AC$1+5,"",IF(ABS($A6-H$32)+ABS($B6-H$33)&gt;$F$1,"",ABS($A6-H$32)+ABS($B6-H$33)))</f>
      </c>
      <c r="I6" s="137">
        <f>IF(ROW(I6)+COLUMN(I6)&gt;$AC$1+5,"",IF(ABS($A6-I$32)+ABS($B6-I$33)&gt;$F$1,"",ABS($A6-I$32)+ABS($B6-I$33)))</f>
      </c>
      <c r="J6" s="137">
        <f>IF(ROW(J6)+COLUMN(J6)&gt;$AC$1+5,"",IF(ABS($A6-J$32)+ABS($B6-J$33)&gt;$F$1,"",ABS($A6-J$32)+ABS($B6-J$33)))</f>
      </c>
      <c r="K6" s="137">
        <f>IF(ROW(K6)+COLUMN(K6)&gt;$AC$1+5,"",IF(ABS($A6-K$32)+ABS($B6-K$33)&gt;$F$1,"",ABS($A6-K$32)+ABS($B6-K$33)))</f>
      </c>
      <c r="L6" s="137">
        <f>IF(ROW(L6)+COLUMN(L6)&gt;$AC$1+5,"",IF(ABS($A6-L$32)+ABS($B6-L$33)&gt;$F$1,"",ABS($A6-L$32)+ABS($B6-L$33)))</f>
      </c>
      <c r="M6" s="137">
        <f>IF(ROW(M6)+COLUMN(M6)&gt;$AC$1+5,"",IF(ABS($A6-M$32)+ABS($B6-M$33)&gt;$F$1,"",ABS($A6-M$32)+ABS($B6-M$33)))</f>
      </c>
      <c r="N6" s="137">
        <f>IF(ROW(N6)+COLUMN(N6)&gt;$AC$1+5,"",IF(ABS($A6-N$32)+ABS($B6-N$33)&gt;$F$1,"",ABS($A6-N$32)+ABS($B6-N$33)))</f>
      </c>
      <c r="O6" s="137">
        <f>IF(ROW(O6)+COLUMN(O6)&gt;$AC$1+5,"",IF(ABS($A6-O$32)+ABS($B6-O$33)&gt;$F$1,"",ABS($A6-O$32)+ABS($B6-O$33)))</f>
      </c>
      <c r="P6" s="137">
        <f>IF(ROW(P6)+COLUMN(P6)&gt;$AC$1+5,"",IF(ABS($A6-P$32)+ABS($B6-P$33)&gt;$F$1,"",ABS($A6-P$32)+ABS($B6-P$33)))</f>
      </c>
      <c r="Q6" s="137">
        <f>IF(ROW(Q6)+COLUMN(Q6)&gt;$AC$1+5,"",IF(ABS($A6-Q$32)+ABS($B6-Q$33)&gt;$F$1,"",ABS($A6-Q$32)+ABS($B6-Q$33)))</f>
      </c>
      <c r="R6" s="137">
        <f>IF(ROW(R6)+COLUMN(R6)&gt;$AC$1+5,"",IF(ABS($A6-R$32)+ABS($B6-R$33)&gt;$F$1,"",ABS($A6-R$32)+ABS($B6-R$33)))</f>
      </c>
      <c r="S6" s="137">
        <f>IF(ROW(S6)+COLUMN(S6)&gt;$AC$1+5,"",IF(ABS($A6-S$32)+ABS($B6-S$33)&gt;$F$1,"",ABS($A6-S$32)+ABS($B6-S$33)))</f>
      </c>
      <c r="T6" s="137">
        <f>IF(ROW(T6)+COLUMN(T6)&gt;$AC$1+5,"",IF(ABS($A6-T$32)+ABS($B6-T$33)&gt;$F$1,"",ABS($A6-T$32)+ABS($B6-T$33)))</f>
      </c>
      <c r="U6" s="137">
        <f>IF(ROW(U6)+COLUMN(U6)&gt;$AC$1+5,"",IF(ABS($A6-U$32)+ABS($B6-U$33)&gt;$F$1,"",ABS($A6-U$32)+ABS($B6-U$33)))</f>
      </c>
      <c r="V6" s="137">
        <f>IF(ROW(V6)+COLUMN(V6)&gt;$AC$1+5,"",IF(ABS($A6-V$32)+ABS($B6-V$33)&gt;$F$1,"",ABS($A6-V$32)+ABS($B6-V$33)))</f>
      </c>
      <c r="W6" s="137">
        <f>IF(ROW(W6)+COLUMN(W6)&gt;$AC$1+5,"",IF(ABS($A6-W$32)+ABS($B6-W$33)&gt;$F$1,"",ABS($A6-W$32)+ABS($B6-W$33)))</f>
      </c>
      <c r="X6" s="137">
        <f>IF(ROW(X6)+COLUMN(X6)&gt;$AC$1+5,"",IF(ABS($A6-X$32)+ABS($B6-X$33)&gt;$F$1,"",ABS($A6-X$32)+ABS($B6-X$33)))</f>
      </c>
      <c r="Y6" s="137">
        <f>IF(ROW(Y6)+COLUMN(Y6)&gt;$AC$1+5,"",IF(ABS($A6-Y$32)+ABS($B6-Y$33)&gt;$F$1,"",ABS($A6-Y$32)+ABS($B6-Y$33)))</f>
        <v>785</v>
      </c>
      <c r="Z6" s="137">
        <f>IF(ROW(Z6)+COLUMN(Z6)&gt;$AC$1+5,"",IF(ABS($A6-Z$32)+ABS($B6-Z$33)&gt;$F$1,"",ABS($A6-Z$32)+ABS($B6-Z$33)))</f>
      </c>
      <c r="AA6" s="137">
        <f>IF(ROW(AA6)+COLUMN(AA6)&gt;$AC$1+5,"",IF(ABS($A6-AA$32)+ABS($B6-AA$33)&gt;$F$1,"",ABS($A6-AA$32)+ABS($B6-AA$33)))</f>
        <v>709</v>
      </c>
      <c r="AB6" s="139">
        <f>IF(ROW(AB6)+COLUMN(AB6)&gt;$AC$1+5,"",IF(ABS($A6-AB$32)+ABS($B6-AB$33)&gt;$F$1,"",ABS($A6-AB$32)+ABS($B6-AB$33)))</f>
        <v>440</v>
      </c>
      <c r="AC6" s="139">
        <f>IF(ROW(AC6)+COLUMN(AC6)&gt;$AC$1+5,"",IF(ABS($A6-AC$32)+ABS($B6-AC$33)&gt;$F$1,"",ABS($A6-AC$32)+ABS($B6-AC$33)))</f>
      </c>
      <c r="AD6" s="136">
        <f>IF(ROW(AD6)+COLUMN(AD6)&gt;$AC$1+5,"",IF(ABS($A6-AD$32)+ABS($B6-AD$33)&gt;$F$1,"",ABS($A6-AD$32)+ABS($B6-AD$33)))</f>
      </c>
      <c r="AE6" s="136">
        <f>IF(ROW(AE6)+COLUMN(AE6)&gt;$AC$1+5,"",IF(ABS($A6-AE$32)+ABS($B6-AE$33)&gt;$F$1,"",ABS($A6-AE$32)+ABS($B6-AE$33)))</f>
      </c>
    </row>
    <row r="7" spans="1:31" ht="12">
      <c r="A7" s="134">
        <f>'Busking Places'!C7</f>
        <v>545455</v>
      </c>
      <c r="B7" s="135">
        <f>'Busking Places'!D7</f>
        <v>258838</v>
      </c>
      <c r="C7" s="9" t="str">
        <f>'Busking Places'!B7</f>
        <v>Butt Green</v>
      </c>
      <c r="D7" s="136">
        <f>IF(ROW(D7)+COLUMN(D7)&gt;$AC$1+5,"",IF(ABS($A7-D$32)+ABS($B7-D$33)&gt;$F$1,"",ABS($A7-D$32)+ABS($B7-D$33)))</f>
        <v>651</v>
      </c>
      <c r="E7" s="136">
        <f>IF(ROW(E7)+COLUMN(E7)&gt;$AC$1+5,"",IF(ABS($A7-E$32)+ABS($B7-E$33)&gt;$F$1,"",ABS($A7-E$32)+ABS($B7-E$33)))</f>
        <v>760</v>
      </c>
      <c r="F7" s="136">
        <f>IF(ROW(F7)+COLUMN(F7)&gt;$AC$1+5,"",IF(ABS($A7-F$32)+ABS($B7-F$33)&gt;$F$1,"",ABS($A7-F$32)+ABS($B7-F$33)))</f>
      </c>
      <c r="G7" s="136">
        <f>IF(ROW(G7)+COLUMN(G7)&gt;$AC$1+5,"",IF(ABS($A7-G$32)+ABS($B7-G$33)&gt;$F$1,"",ABS($A7-G$32)+ABS($B7-G$33)))</f>
      </c>
      <c r="H7" s="137">
        <f>IF(ROW(H7)+COLUMN(H7)&gt;$AC$1+5,"",IF(ABS($A7-H$32)+ABS($B7-H$33)&gt;$F$1,"",ABS($A7-H$32)+ABS($B7-H$33)))</f>
      </c>
      <c r="I7" s="136">
        <f>IF(ROW(I7)+COLUMN(I7)&gt;$AC$1+5,"",IF(ABS($A7-I$32)+ABS($B7-I$33)&gt;$F$1,"",ABS($A7-I$32)+ABS($B7-I$33)))</f>
      </c>
      <c r="J7" s="136">
        <f>IF(ROW(J7)+COLUMN(J7)&gt;$AC$1+5,"",IF(ABS($A7-J$32)+ABS($B7-J$33)&gt;$F$1,"",ABS($A7-J$32)+ABS($B7-J$33)))</f>
      </c>
      <c r="K7" s="136">
        <f>IF(ROW(K7)+COLUMN(K7)&gt;$AC$1+5,"",IF(ABS($A7-K$32)+ABS($B7-K$33)&gt;$F$1,"",ABS($A7-K$32)+ABS($B7-K$33)))</f>
      </c>
      <c r="L7" s="137">
        <f>IF(ROW(L7)+COLUMN(L7)&gt;$AC$1+5,"",IF(ABS($A7-L$32)+ABS($B7-L$33)&gt;$F$1,"",ABS($A7-L$32)+ABS($B7-L$33)))</f>
      </c>
      <c r="M7" s="136">
        <f>IF(ROW(M7)+COLUMN(M7)&gt;$AC$1+5,"",IF(ABS($A7-M$32)+ABS($B7-M$33)&gt;$F$1,"",ABS($A7-M$32)+ABS($B7-M$33)))</f>
      </c>
      <c r="N7" s="136">
        <f>IF(ROW(N7)+COLUMN(N7)&gt;$AC$1+5,"",IF(ABS($A7-N$32)+ABS($B7-N$33)&gt;$F$1,"",ABS($A7-N$32)+ABS($B7-N$33)))</f>
      </c>
      <c r="O7" s="136">
        <f>IF(ROW(O7)+COLUMN(O7)&gt;$AC$1+5,"",IF(ABS($A7-O$32)+ABS($B7-O$33)&gt;$F$1,"",ABS($A7-O$32)+ABS($B7-O$33)))</f>
      </c>
      <c r="P7" s="137">
        <f>IF(ROW(P7)+COLUMN(P7)&gt;$AC$1+5,"",IF(ABS($A7-P$32)+ABS($B7-P$33)&gt;$F$1,"",ABS($A7-P$32)+ABS($B7-P$33)))</f>
      </c>
      <c r="Q7" s="136">
        <f>IF(ROW(Q7)+COLUMN(Q7)&gt;$AC$1+5,"",IF(ABS($A7-Q$32)+ABS($B7-Q$33)&gt;$F$1,"",ABS($A7-Q$32)+ABS($B7-Q$33)))</f>
      </c>
      <c r="R7" s="136">
        <f>IF(ROW(R7)+COLUMN(R7)&gt;$AC$1+5,"",IF(ABS($A7-R$32)+ABS($B7-R$33)&gt;$F$1,"",ABS($A7-R$32)+ABS($B7-R$33)))</f>
      </c>
      <c r="S7" s="136">
        <f>IF(ROW(S7)+COLUMN(S7)&gt;$AC$1+5,"",IF(ABS($A7-S$32)+ABS($B7-S$33)&gt;$F$1,"",ABS($A7-S$32)+ABS($B7-S$33)))</f>
      </c>
      <c r="T7" s="137">
        <f>IF(ROW(T7)+COLUMN(T7)&gt;$AC$1+5,"",IF(ABS($A7-T$32)+ABS($B7-T$33)&gt;$F$1,"",ABS($A7-T$32)+ABS($B7-T$33)))</f>
      </c>
      <c r="U7" s="136">
        <f>IF(ROW(U7)+COLUMN(U7)&gt;$AC$1+5,"",IF(ABS($A7-U$32)+ABS($B7-U$33)&gt;$F$1,"",ABS($A7-U$32)+ABS($B7-U$33)))</f>
      </c>
      <c r="V7" s="136">
        <f>IF(ROW(V7)+COLUMN(V7)&gt;$AC$1+5,"",IF(ABS($A7-V$32)+ABS($B7-V$33)&gt;$F$1,"",ABS($A7-V$32)+ABS($B7-V$33)))</f>
      </c>
      <c r="W7" s="136">
        <f>IF(ROW(W7)+COLUMN(W7)&gt;$AC$1+5,"",IF(ABS($A7-W$32)+ABS($B7-W$33)&gt;$F$1,"",ABS($A7-W$32)+ABS($B7-W$33)))</f>
        <v>553</v>
      </c>
      <c r="X7" s="137">
        <f>IF(ROW(X7)+COLUMN(X7)&gt;$AC$1+5,"",IF(ABS($A7-X$32)+ABS($B7-X$33)&gt;$F$1,"",ABS($A7-X$32)+ABS($B7-X$33)))</f>
        <v>482</v>
      </c>
      <c r="Y7" s="139">
        <f>IF(ROW(Y7)+COLUMN(Y7)&gt;$AC$1+5,"",IF(ABS($A7-Y$32)+ABS($B7-Y$33)&gt;$F$1,"",ABS($A7-Y$32)+ABS($B7-Y$33)))</f>
        <v>365</v>
      </c>
      <c r="Z7" s="139">
        <f>IF(ROW(Z7)+COLUMN(Z7)&gt;$AC$1+5,"",IF(ABS($A7-Z$32)+ABS($B7-Z$33)&gt;$F$1,"",ABS($A7-Z$32)+ABS($B7-Z$33)))</f>
        <v>430</v>
      </c>
      <c r="AA7" s="139">
        <f>IF(ROW(AA7)+COLUMN(AA7)&gt;$AC$1+5,"",IF(ABS($A7-AA$32)+ABS($B7-AA$33)&gt;$F$1,"",ABS($A7-AA$32)+ABS($B7-AA$33)))</f>
        <v>269</v>
      </c>
      <c r="AB7" s="139">
        <f>IF(ROW(AB7)+COLUMN(AB7)&gt;$AC$1+5,"",IF(ABS($A7-AB$32)+ABS($B7-AB$33)&gt;$F$1,"",ABS($A7-AB$32)+ABS($B7-AB$33)))</f>
      </c>
      <c r="AC7" s="136">
        <f>IF(ROW(AC7)+COLUMN(AC7)&gt;$AC$1+5,"",IF(ABS($A7-AC$32)+ABS($B7-AC$33)&gt;$F$1,"",ABS($A7-AC$32)+ABS($B7-AC$33)))</f>
      </c>
      <c r="AD7" s="136">
        <f>IF(ROW(AD7)+COLUMN(AD7)&gt;$AC$1+5,"",IF(ABS($A7-AD$32)+ABS($B7-AD$33)&gt;$F$1,"",ABS($A7-AD$32)+ABS($B7-AD$33)))</f>
      </c>
      <c r="AE7" s="136">
        <f>IF(ROW(AE7)+COLUMN(AE7)&gt;$AC$1+5,"",IF(ABS($A7-AE$32)+ABS($B7-AE$33)&gt;$F$1,"",ABS($A7-AE$32)+ABS($B7-AE$33)))</f>
      </c>
    </row>
    <row r="8" spans="1:31" ht="12">
      <c r="A8" s="134">
        <f>'Busking Places'!C8</f>
        <v>545347</v>
      </c>
      <c r="B8" s="135">
        <f>'Busking Places'!D8</f>
        <v>258677</v>
      </c>
      <c r="C8" s="9" t="str">
        <f>'Busking Places'!B8</f>
        <v>Pike's Walk</v>
      </c>
      <c r="D8" s="136">
        <f>IF(ROW(D8)+COLUMN(D8)&gt;$AC$1+5,"",IF(ABS($A8-D$32)+ABS($B8-D$33)&gt;$F$1,"",ABS($A8-D$32)+ABS($B8-D$33)))</f>
        <v>382</v>
      </c>
      <c r="E8" s="136">
        <f>IF(ROW(E8)+COLUMN(E8)&gt;$AC$1+5,"",IF(ABS($A8-E$32)+ABS($B8-E$33)&gt;$F$1,"",ABS($A8-E$32)+ABS($B8-E$33)))</f>
        <v>491</v>
      </c>
      <c r="F8" s="136">
        <f>IF(ROW(F8)+COLUMN(F8)&gt;$AC$1+5,"",IF(ABS($A8-F$32)+ABS($B8-F$33)&gt;$F$1,"",ABS($A8-F$32)+ABS($B8-F$33)))</f>
        <v>740</v>
      </c>
      <c r="G8" s="136">
        <f>IF(ROW(G8)+COLUMN(G8)&gt;$AC$1+5,"",IF(ABS($A8-G$32)+ABS($B8-G$33)&gt;$F$1,"",ABS($A8-G$32)+ABS($B8-G$33)))</f>
        <v>751</v>
      </c>
      <c r="H8" s="137">
        <f>IF(ROW(H8)+COLUMN(H8)&gt;$AC$1+5,"",IF(ABS($A8-H$32)+ABS($B8-H$33)&gt;$F$1,"",ABS($A8-H$32)+ABS($B8-H$33)))</f>
        <v>687</v>
      </c>
      <c r="I8" s="136">
        <f>IF(ROW(I8)+COLUMN(I8)&gt;$AC$1+5,"",IF(ABS($A8-I$32)+ABS($B8-I$33)&gt;$F$1,"",ABS($A8-I$32)+ABS($B8-I$33)))</f>
        <v>683</v>
      </c>
      <c r="J8" s="136">
        <f>IF(ROW(J8)+COLUMN(J8)&gt;$AC$1+5,"",IF(ABS($A8-J$32)+ABS($B8-J$33)&gt;$F$1,"",ABS($A8-J$32)+ABS($B8-J$33)))</f>
      </c>
      <c r="K8" s="136">
        <f>IF(ROW(K8)+COLUMN(K8)&gt;$AC$1+5,"",IF(ABS($A8-K$32)+ABS($B8-K$33)&gt;$F$1,"",ABS($A8-K$32)+ABS($B8-K$33)))</f>
      </c>
      <c r="L8" s="137">
        <f>IF(ROW(L8)+COLUMN(L8)&gt;$AC$1+5,"",IF(ABS($A8-L$32)+ABS($B8-L$33)&gt;$F$1,"",ABS($A8-L$32)+ABS($B8-L$33)))</f>
        <v>586</v>
      </c>
      <c r="M8" s="136">
        <f>IF(ROW(M8)+COLUMN(M8)&gt;$AC$1+5,"",IF(ABS($A8-M$32)+ABS($B8-M$33)&gt;$F$1,"",ABS($A8-M$32)+ABS($B8-M$33)))</f>
      </c>
      <c r="N8" s="136">
        <f>IF(ROW(N8)+COLUMN(N8)&gt;$AC$1+5,"",IF(ABS($A8-N$32)+ABS($B8-N$33)&gt;$F$1,"",ABS($A8-N$32)+ABS($B8-N$33)))</f>
      </c>
      <c r="O8" s="136">
        <f>IF(ROW(O8)+COLUMN(O8)&gt;$AC$1+5,"",IF(ABS($A8-O$32)+ABS($B8-O$33)&gt;$F$1,"",ABS($A8-O$32)+ABS($B8-O$33)))</f>
      </c>
      <c r="P8" s="137">
        <f>IF(ROW(P8)+COLUMN(P8)&gt;$AC$1+5,"",IF(ABS($A8-P$32)+ABS($B8-P$33)&gt;$F$1,"",ABS($A8-P$32)+ABS($B8-P$33)))</f>
      </c>
      <c r="Q8" s="136">
        <f>IF(ROW(Q8)+COLUMN(Q8)&gt;$AC$1+5,"",IF(ABS($A8-Q$32)+ABS($B8-Q$33)&gt;$F$1,"",ABS($A8-Q$32)+ABS($B8-Q$33)))</f>
      </c>
      <c r="R8" s="136">
        <f>IF(ROW(R8)+COLUMN(R8)&gt;$AC$1+5,"",IF(ABS($A8-R$32)+ABS($B8-R$33)&gt;$F$1,"",ABS($A8-R$32)+ABS($B8-R$33)))</f>
      </c>
      <c r="S8" s="136">
        <f>IF(ROW(S8)+COLUMN(S8)&gt;$AC$1+5,"",IF(ABS($A8-S$32)+ABS($B8-S$33)&gt;$F$1,"",ABS($A8-S$32)+ABS($B8-S$33)))</f>
      </c>
      <c r="T8" s="137">
        <f>IF(ROW(T8)+COLUMN(T8)&gt;$AC$1+5,"",IF(ABS($A8-T$32)+ABS($B8-T$33)&gt;$F$1,"",ABS($A8-T$32)+ABS($B8-T$33)))</f>
      </c>
      <c r="U8" s="136">
        <f>IF(ROW(U8)+COLUMN(U8)&gt;$AC$1+5,"",IF(ABS($A8-U$32)+ABS($B8-U$33)&gt;$F$1,"",ABS($A8-U$32)+ABS($B8-U$33)))</f>
      </c>
      <c r="V8" s="136">
        <f>IF(ROW(V8)+COLUMN(V8)&gt;$AC$1+5,"",IF(ABS($A8-V$32)+ABS($B8-V$33)&gt;$F$1,"",ABS($A8-V$32)+ABS($B8-V$33)))</f>
        <v>776</v>
      </c>
      <c r="W8" s="136">
        <f>IF(ROW(W8)+COLUMN(W8)&gt;$AC$1+5,"",IF(ABS($A8-W$32)+ABS($B8-W$33)&gt;$F$1,"",ABS($A8-W$32)+ABS($B8-W$33)))</f>
        <v>500</v>
      </c>
      <c r="X8" s="137">
        <f>IF(ROW(X8)+COLUMN(X8)&gt;$AC$1+5,"",IF(ABS($A8-X$32)+ABS($B8-X$33)&gt;$F$1,"",ABS($A8-X$32)+ABS($B8-X$33)))</f>
        <v>429</v>
      </c>
      <c r="Y8" s="139">
        <f>IF(ROW(Y8)+COLUMN(Y8)&gt;$AC$1+5,"",IF(ABS($A8-Y$32)+ABS($B8-Y$33)&gt;$F$1,"",ABS($A8-Y$32)+ABS($B8-Y$33)))</f>
        <v>312</v>
      </c>
      <c r="Z8" s="139">
        <f>IF(ROW(Z8)+COLUMN(Z8)&gt;$AC$1+5,"",IF(ABS($A8-Z$32)+ABS($B8-Z$33)&gt;$F$1,"",ABS($A8-Z$32)+ABS($B8-Z$33)))</f>
        <v>161</v>
      </c>
      <c r="AA8" s="139">
        <f>IF(ROW(AA8)+COLUMN(AA8)&gt;$AC$1+5,"",IF(ABS($A8-AA$32)+ABS($B8-AA$33)&gt;$F$1,"",ABS($A8-AA$32)+ABS($B8-AA$33)))</f>
      </c>
      <c r="AB8" s="139">
        <f>IF(ROW(AB8)+COLUMN(AB8)&gt;$AC$1+5,"",IF(ABS($A8-AB$32)+ABS($B8-AB$33)&gt;$F$1,"",ABS($A8-AB$32)+ABS($B8-AB$33)))</f>
      </c>
      <c r="AC8" s="136">
        <f>IF(ROW(AC8)+COLUMN(AC8)&gt;$AC$1+5,"",IF(ABS($A8-AC$32)+ABS($B8-AC$33)&gt;$F$1,"",ABS($A8-AC$32)+ABS($B8-AC$33)))</f>
      </c>
      <c r="AD8" s="136">
        <f>IF(ROW(AD8)+COLUMN(AD8)&gt;$AC$1+5,"",IF(ABS($A8-AD$32)+ABS($B8-AD$33)&gt;$F$1,"",ABS($A8-AD$32)+ABS($B8-AD$33)))</f>
      </c>
      <c r="AE8" s="136">
        <f>IF(ROW(AE8)+COLUMN(AE8)&gt;$AC$1+5,"",IF(ABS($A8-AE$32)+ABS($B8-AE$33)&gt;$F$1,"",ABS($A8-AE$32)+ABS($B8-AE$33)))</f>
      </c>
    </row>
    <row r="9" spans="1:31" ht="12">
      <c r="A9" s="134">
        <f>'Busking Places'!C9</f>
        <v>545311</v>
      </c>
      <c r="B9" s="135">
        <f>'Busking Places'!D9</f>
        <v>258552</v>
      </c>
      <c r="C9" s="9" t="str">
        <f>'Busking Places'!B9</f>
        <v>Christ's Pieces</v>
      </c>
      <c r="D9" s="136">
        <f>IF(ROW(D9)+COLUMN(D9)&gt;$AC$1+5,"",IF(ABS($A9-D$32)+ABS($B9-D$33)&gt;$F$1,"",ABS($A9-D$32)+ABS($B9-D$33)))</f>
        <v>349</v>
      </c>
      <c r="E9" s="136">
        <f>IF(ROW(E9)+COLUMN(E9)&gt;$AC$1+5,"",IF(ABS($A9-E$32)+ABS($B9-E$33)&gt;$F$1,"",ABS($A9-E$32)+ABS($B9-E$33)))</f>
        <v>330</v>
      </c>
      <c r="F9" s="136">
        <f>IF(ROW(F9)+COLUMN(F9)&gt;$AC$1+5,"",IF(ABS($A9-F$32)+ABS($B9-F$33)&gt;$F$1,"",ABS($A9-F$32)+ABS($B9-F$33)))</f>
        <v>579</v>
      </c>
      <c r="G9" s="136">
        <f>IF(ROW(G9)+COLUMN(G9)&gt;$AC$1+5,"",IF(ABS($A9-G$32)+ABS($B9-G$33)&gt;$F$1,"",ABS($A9-G$32)+ABS($B9-G$33)))</f>
        <v>590</v>
      </c>
      <c r="H9" s="137">
        <f>IF(ROW(H9)+COLUMN(H9)&gt;$AC$1+5,"",IF(ABS($A9-H$32)+ABS($B9-H$33)&gt;$F$1,"",ABS($A9-H$32)+ABS($B9-H$33)))</f>
        <v>526</v>
      </c>
      <c r="I9" s="136">
        <f>IF(ROW(I9)+COLUMN(I9)&gt;$AC$1+5,"",IF(ABS($A9-I$32)+ABS($B9-I$33)&gt;$F$1,"",ABS($A9-I$32)+ABS($B9-I$33)))</f>
        <v>522</v>
      </c>
      <c r="J9" s="136">
        <f>IF(ROW(J9)+COLUMN(J9)&gt;$AC$1+5,"",IF(ABS($A9-J$32)+ABS($B9-J$33)&gt;$F$1,"",ABS($A9-J$32)+ABS($B9-J$33)))</f>
      </c>
      <c r="K9" s="136">
        <f>IF(ROW(K9)+COLUMN(K9)&gt;$AC$1+5,"",IF(ABS($A9-K$32)+ABS($B9-K$33)&gt;$F$1,"",ABS($A9-K$32)+ABS($B9-K$33)))</f>
      </c>
      <c r="L9" s="137">
        <f>IF(ROW(L9)+COLUMN(L9)&gt;$AC$1+5,"",IF(ABS($A9-L$32)+ABS($B9-L$33)&gt;$F$1,"",ABS($A9-L$32)+ABS($B9-L$33)))</f>
        <v>487</v>
      </c>
      <c r="M9" s="136">
        <f>IF(ROW(M9)+COLUMN(M9)&gt;$AC$1+5,"",IF(ABS($A9-M$32)+ABS($B9-M$33)&gt;$F$1,"",ABS($A9-M$32)+ABS($B9-M$33)))</f>
      </c>
      <c r="N9" s="136">
        <f>IF(ROW(N9)+COLUMN(N9)&gt;$AC$1+5,"",IF(ABS($A9-N$32)+ABS($B9-N$33)&gt;$F$1,"",ABS($A9-N$32)+ABS($B9-N$33)))</f>
      </c>
      <c r="O9" s="136">
        <f>IF(ROW(O9)+COLUMN(O9)&gt;$AC$1+5,"",IF(ABS($A9-O$32)+ABS($B9-O$33)&gt;$F$1,"",ABS($A9-O$32)+ABS($B9-O$33)))</f>
      </c>
      <c r="P9" s="137">
        <f>IF(ROW(P9)+COLUMN(P9)&gt;$AC$1+5,"",IF(ABS($A9-P$32)+ABS($B9-P$33)&gt;$F$1,"",ABS($A9-P$32)+ABS($B9-P$33)))</f>
      </c>
      <c r="Q9" s="136">
        <f>IF(ROW(Q9)+COLUMN(Q9)&gt;$AC$1+5,"",IF(ABS($A9-Q$32)+ABS($B9-Q$33)&gt;$F$1,"",ABS($A9-Q$32)+ABS($B9-Q$33)))</f>
      </c>
      <c r="R9" s="136">
        <f>IF(ROW(R9)+COLUMN(R9)&gt;$AC$1+5,"",IF(ABS($A9-R$32)+ABS($B9-R$33)&gt;$F$1,"",ABS($A9-R$32)+ABS($B9-R$33)))</f>
      </c>
      <c r="S9" s="136">
        <f>IF(ROW(S9)+COLUMN(S9)&gt;$AC$1+5,"",IF(ABS($A9-S$32)+ABS($B9-S$33)&gt;$F$1,"",ABS($A9-S$32)+ABS($B9-S$33)))</f>
      </c>
      <c r="T9" s="137">
        <f>IF(ROW(T9)+COLUMN(T9)&gt;$AC$1+5,"",IF(ABS($A9-T$32)+ABS($B9-T$33)&gt;$F$1,"",ABS($A9-T$32)+ABS($B9-T$33)))</f>
      </c>
      <c r="U9" s="136">
        <f>IF(ROW(U9)+COLUMN(U9)&gt;$AC$1+5,"",IF(ABS($A9-U$32)+ABS($B9-U$33)&gt;$F$1,"",ABS($A9-U$32)+ABS($B9-U$33)))</f>
      </c>
      <c r="V9" s="136">
        <f>IF(ROW(V9)+COLUMN(V9)&gt;$AC$1+5,"",IF(ABS($A9-V$32)+ABS($B9-V$33)&gt;$F$1,"",ABS($A9-V$32)+ABS($B9-V$33)))</f>
        <v>687</v>
      </c>
      <c r="W9" s="136">
        <f>IF(ROW(W9)+COLUMN(W9)&gt;$AC$1+5,"",IF(ABS($A9-W$32)+ABS($B9-W$33)&gt;$F$1,"",ABS($A9-W$32)+ABS($B9-W$33)))</f>
        <v>411</v>
      </c>
      <c r="X9" s="137">
        <f>IF(ROW(X9)+COLUMN(X9)&gt;$AC$1+5,"",IF(ABS($A9-X$32)+ABS($B9-X$33)&gt;$F$1,"",ABS($A9-X$32)+ABS($B9-X$33)))</f>
        <v>518</v>
      </c>
      <c r="Y9" s="139">
        <f>IF(ROW(Y9)+COLUMN(Y9)&gt;$AC$1+5,"",IF(ABS($A9-Y$32)+ABS($B9-Y$33)&gt;$F$1,"",ABS($A9-Y$32)+ABS($B9-Y$33)))</f>
        <v>385</v>
      </c>
      <c r="Z9" s="139">
        <f>IF(ROW(Z9)+COLUMN(Z9)&gt;$AC$1+5,"",IF(ABS($A9-Z$32)+ABS($B9-Z$33)&gt;$F$1,"",ABS($A9-Z$32)+ABS($B9-Z$33)))</f>
      </c>
      <c r="AA9" s="139">
        <f>IF(ROW(AA9)+COLUMN(AA9)&gt;$AC$1+5,"",IF(ABS($A9-AA$32)+ABS($B9-AA$33)&gt;$F$1,"",ABS($A9-AA$32)+ABS($B9-AA$33)))</f>
      </c>
      <c r="AB9" s="139">
        <f>IF(ROW(AB9)+COLUMN(AB9)&gt;$AC$1+5,"",IF(ABS($A9-AB$32)+ABS($B9-AB$33)&gt;$F$1,"",ABS($A9-AB$32)+ABS($B9-AB$33)))</f>
      </c>
      <c r="AC9" s="136">
        <f>IF(ROW(AC9)+COLUMN(AC9)&gt;$AC$1+5,"",IF(ABS($A9-AC$32)+ABS($B9-AC$33)&gt;$F$1,"",ABS($A9-AC$32)+ABS($B9-AC$33)))</f>
      </c>
      <c r="AD9" s="136">
        <f>IF(ROW(AD9)+COLUMN(AD9)&gt;$AC$1+5,"",IF(ABS($A9-AD$32)+ABS($B9-AD$33)&gt;$F$1,"",ABS($A9-AD$32)+ABS($B9-AD$33)))</f>
      </c>
      <c r="AE9" s="136">
        <f>IF(ROW(AE9)+COLUMN(AE9)&gt;$AC$1+5,"",IF(ABS($A9-AE$32)+ABS($B9-AE$33)&gt;$F$1,"",ABS($A9-AE$32)+ABS($B9-AE$33)))</f>
      </c>
    </row>
    <row r="10" spans="1:31" ht="12">
      <c r="A10" s="134">
        <f>'Busking Places'!C10</f>
        <v>545615</v>
      </c>
      <c r="B10" s="135">
        <f>'Busking Places'!D10</f>
        <v>258633</v>
      </c>
      <c r="C10" s="138" t="str">
        <f>'Busking Places'!B10</f>
        <v>Fitzroy St</v>
      </c>
      <c r="D10" s="137">
        <f>IF(ROW(D10)+COLUMN(D10)&gt;$AC$1+5,"",IF(ABS($A10-D$32)+ABS($B10-D$33)&gt;$F$1,"",ABS($A10-D$32)+ABS($B10-D$33)))</f>
        <v>606</v>
      </c>
      <c r="E10" s="137">
        <f>IF(ROW(E10)+COLUMN(E10)&gt;$AC$1+5,"",IF(ABS($A10-E$32)+ABS($B10-E$33)&gt;$F$1,"",ABS($A10-E$32)+ABS($B10-E$33)))</f>
        <v>715</v>
      </c>
      <c r="F10" s="137">
        <f>IF(ROW(F10)+COLUMN(F10)&gt;$AC$1+5,"",IF(ABS($A10-F$32)+ABS($B10-F$33)&gt;$F$1,"",ABS($A10-F$32)+ABS($B10-F$33)))</f>
      </c>
      <c r="G10" s="137">
        <f>IF(ROW(G10)+COLUMN(G10)&gt;$AC$1+5,"",IF(ABS($A10-G$32)+ABS($B10-G$33)&gt;$F$1,"",ABS($A10-G$32)+ABS($B10-G$33)))</f>
      </c>
      <c r="H10" s="137">
        <f>IF(ROW(H10)+COLUMN(H10)&gt;$AC$1+5,"",IF(ABS($A10-H$32)+ABS($B10-H$33)&gt;$F$1,"",ABS($A10-H$32)+ABS($B10-H$33)))</f>
      </c>
      <c r="I10" s="137">
        <f>IF(ROW(I10)+COLUMN(I10)&gt;$AC$1+5,"",IF(ABS($A10-I$32)+ABS($B10-I$33)&gt;$F$1,"",ABS($A10-I$32)+ABS($B10-I$33)))</f>
      </c>
      <c r="J10" s="137">
        <f>IF(ROW(J10)+COLUMN(J10)&gt;$AC$1+5,"",IF(ABS($A10-J$32)+ABS($B10-J$33)&gt;$F$1,"",ABS($A10-J$32)+ABS($B10-J$33)))</f>
      </c>
      <c r="K10" s="137">
        <f>IF(ROW(K10)+COLUMN(K10)&gt;$AC$1+5,"",IF(ABS($A10-K$32)+ABS($B10-K$33)&gt;$F$1,"",ABS($A10-K$32)+ABS($B10-K$33)))</f>
      </c>
      <c r="L10" s="137">
        <f>IF(ROW(L10)+COLUMN(L10)&gt;$AC$1+5,"",IF(ABS($A10-L$32)+ABS($B10-L$33)&gt;$F$1,"",ABS($A10-L$32)+ABS($B10-L$33)))</f>
      </c>
      <c r="M10" s="137">
        <f>IF(ROW(M10)+COLUMN(M10)&gt;$AC$1+5,"",IF(ABS($A10-M$32)+ABS($B10-M$33)&gt;$F$1,"",ABS($A10-M$32)+ABS($B10-M$33)))</f>
      </c>
      <c r="N10" s="137">
        <f>IF(ROW(N10)+COLUMN(N10)&gt;$AC$1+5,"",IF(ABS($A10-N$32)+ABS($B10-N$33)&gt;$F$1,"",ABS($A10-N$32)+ABS($B10-N$33)))</f>
        <v>729</v>
      </c>
      <c r="O10" s="137">
        <f>IF(ROW(O10)+COLUMN(O10)&gt;$AC$1+5,"",IF(ABS($A10-O$32)+ABS($B10-O$33)&gt;$F$1,"",ABS($A10-O$32)+ABS($B10-O$33)))</f>
      </c>
      <c r="P10" s="137">
        <f>IF(ROW(P10)+COLUMN(P10)&gt;$AC$1+5,"",IF(ABS($A10-P$32)+ABS($B10-P$33)&gt;$F$1,"",ABS($A10-P$32)+ABS($B10-P$33)))</f>
      </c>
      <c r="Q10" s="137">
        <f>IF(ROW(Q10)+COLUMN(Q10)&gt;$AC$1+5,"",IF(ABS($A10-Q$32)+ABS($B10-Q$33)&gt;$F$1,"",ABS($A10-Q$32)+ABS($B10-Q$33)))</f>
      </c>
      <c r="R10" s="137">
        <f>IF(ROW(R10)+COLUMN(R10)&gt;$AC$1+5,"",IF(ABS($A10-R$32)+ABS($B10-R$33)&gt;$F$1,"",ABS($A10-R$32)+ABS($B10-R$33)))</f>
      </c>
      <c r="S10" s="137">
        <f>IF(ROW(S10)+COLUMN(S10)&gt;$AC$1+5,"",IF(ABS($A10-S$32)+ABS($B10-S$33)&gt;$F$1,"",ABS($A10-S$32)+ABS($B10-S$33)))</f>
      </c>
      <c r="T10" s="137">
        <f>IF(ROW(T10)+COLUMN(T10)&gt;$AC$1+5,"",IF(ABS($A10-T$32)+ABS($B10-T$33)&gt;$F$1,"",ABS($A10-T$32)+ABS($B10-T$33)))</f>
      </c>
      <c r="U10" s="137">
        <f>IF(ROW(U10)+COLUMN(U10)&gt;$AC$1+5,"",IF(ABS($A10-U$32)+ABS($B10-U$33)&gt;$F$1,"",ABS($A10-U$32)+ABS($B10-U$33)))</f>
        <v>647</v>
      </c>
      <c r="V10" s="137">
        <f>IF(ROW(V10)+COLUMN(V10)&gt;$AC$1+5,"",IF(ABS($A10-V$32)+ABS($B10-V$33)&gt;$F$1,"",ABS($A10-V$32)+ABS($B10-V$33)))</f>
        <v>464</v>
      </c>
      <c r="W10" s="137">
        <f>IF(ROW(W10)+COLUMN(W10)&gt;$AC$1+5,"",IF(ABS($A10-W$32)+ABS($B10-W$33)&gt;$F$1,"",ABS($A10-W$32)+ABS($B10-W$33)))</f>
        <v>188</v>
      </c>
      <c r="X10" s="139">
        <f>IF(ROW(X10)+COLUMN(X10)&gt;$AC$1+5,"",IF(ABS($A10-X$32)+ABS($B10-X$33)&gt;$F$1,"",ABS($A10-X$32)+ABS($B10-X$33)))</f>
        <v>133</v>
      </c>
      <c r="Y10" s="139">
        <f>IF(ROW(Y10)+COLUMN(Y10)&gt;$AC$1+5,"",IF(ABS($A10-Y$32)+ABS($B10-Y$33)&gt;$F$1,"",ABS($A10-Y$32)+ABS($B10-Y$33)))</f>
      </c>
      <c r="Z10" s="139">
        <f>IF(ROW(Z10)+COLUMN(Z10)&gt;$AC$1+5,"",IF(ABS($A10-Z$32)+ABS($B10-Z$33)&gt;$F$1,"",ABS($A10-Z$32)+ABS($B10-Z$33)))</f>
      </c>
      <c r="AA10" s="139">
        <f>IF(ROW(AA10)+COLUMN(AA10)&gt;$AC$1+5,"",IF(ABS($A10-AA$32)+ABS($B10-AA$33)&gt;$F$1,"",ABS($A10-AA$32)+ABS($B10-AA$33)))</f>
      </c>
      <c r="AB10" s="139">
        <f>IF(ROW(AB10)+COLUMN(AB10)&gt;$AC$1+5,"",IF(ABS($A10-AB$32)+ABS($B10-AB$33)&gt;$F$1,"",ABS($A10-AB$32)+ABS($B10-AB$33)))</f>
      </c>
      <c r="AC10" s="136">
        <f>IF(ROW(AC10)+COLUMN(AC10)&gt;$AC$1+5,"",IF(ABS($A10-AC$32)+ABS($B10-AC$33)&gt;$F$1,"",ABS($A10-AC$32)+ABS($B10-AC$33)))</f>
      </c>
      <c r="AD10" s="136">
        <f>IF(ROW(AD10)+COLUMN(AD10)&gt;$AC$1+5,"",IF(ABS($A10-AD$32)+ABS($B10-AD$33)&gt;$F$1,"",ABS($A10-AD$32)+ABS($B10-AD$33)))</f>
      </c>
      <c r="AE10" s="136">
        <f>IF(ROW(AE10)+COLUMN(AE10)&gt;$AC$1+5,"",IF(ABS($A10-AE$32)+ABS($B10-AE$33)&gt;$F$1,"",ABS($A10-AE$32)+ABS($B10-AE$33)))</f>
      </c>
    </row>
    <row r="11" spans="1:31" ht="12">
      <c r="A11" s="134">
        <f>'Busking Places'!C11</f>
        <v>545740</v>
      </c>
      <c r="B11" s="135">
        <f>'Busking Places'!D11</f>
        <v>258641</v>
      </c>
      <c r="C11" s="9" t="str">
        <f>'Busking Places'!B11</f>
        <v>Burleigh St.</v>
      </c>
      <c r="D11" s="136">
        <f>IF(ROW(D11)+COLUMN(D11)&gt;$AC$1+5,"",IF(ABS($A11-D$32)+ABS($B11-D$33)&gt;$F$1,"",ABS($A11-D$32)+ABS($B11-D$33)))</f>
        <v>739</v>
      </c>
      <c r="E11" s="136">
        <f>IF(ROW(E11)+COLUMN(E11)&gt;$AC$1+5,"",IF(ABS($A11-E$32)+ABS($B11-E$33)&gt;$F$1,"",ABS($A11-E$32)+ABS($B11-E$33)))</f>
      </c>
      <c r="F11" s="136">
        <f>IF(ROW(F11)+COLUMN(F11)&gt;$AC$1+5,"",IF(ABS($A11-F$32)+ABS($B11-F$33)&gt;$F$1,"",ABS($A11-F$32)+ABS($B11-F$33)))</f>
      </c>
      <c r="G11" s="136">
        <f>IF(ROW(G11)+COLUMN(G11)&gt;$AC$1+5,"",IF(ABS($A11-G$32)+ABS($B11-G$33)&gt;$F$1,"",ABS($A11-G$32)+ABS($B11-G$33)))</f>
      </c>
      <c r="H11" s="137">
        <f>IF(ROW(H11)+COLUMN(H11)&gt;$AC$1+5,"",IF(ABS($A11-H$32)+ABS($B11-H$33)&gt;$F$1,"",ABS($A11-H$32)+ABS($B11-H$33)))</f>
      </c>
      <c r="I11" s="136">
        <f>IF(ROW(I11)+COLUMN(I11)&gt;$AC$1+5,"",IF(ABS($A11-I$32)+ABS($B11-I$33)&gt;$F$1,"",ABS($A11-I$32)+ABS($B11-I$33)))</f>
      </c>
      <c r="J11" s="136">
        <f>IF(ROW(J11)+COLUMN(J11)&gt;$AC$1+5,"",IF(ABS($A11-J$32)+ABS($B11-J$33)&gt;$F$1,"",ABS($A11-J$32)+ABS($B11-J$33)))</f>
      </c>
      <c r="K11" s="136">
        <f>IF(ROW(K11)+COLUMN(K11)&gt;$AC$1+5,"",IF(ABS($A11-K$32)+ABS($B11-K$33)&gt;$F$1,"",ABS($A11-K$32)+ABS($B11-K$33)))</f>
      </c>
      <c r="L11" s="137">
        <f>IF(ROW(L11)+COLUMN(L11)&gt;$AC$1+5,"",IF(ABS($A11-L$32)+ABS($B11-L$33)&gt;$F$1,"",ABS($A11-L$32)+ABS($B11-L$33)))</f>
      </c>
      <c r="M11" s="136">
        <f>IF(ROW(M11)+COLUMN(M11)&gt;$AC$1+5,"",IF(ABS($A11-M$32)+ABS($B11-M$33)&gt;$F$1,"",ABS($A11-M$32)+ABS($B11-M$33)))</f>
      </c>
      <c r="N11" s="136">
        <f>IF(ROW(N11)+COLUMN(N11)&gt;$AC$1+5,"",IF(ABS($A11-N$32)+ABS($B11-N$33)&gt;$F$1,"",ABS($A11-N$32)+ABS($B11-N$33)))</f>
      </c>
      <c r="O11" s="136">
        <f>IF(ROW(O11)+COLUMN(O11)&gt;$AC$1+5,"",IF(ABS($A11-O$32)+ABS($B11-O$33)&gt;$F$1,"",ABS($A11-O$32)+ABS($B11-O$33)))</f>
      </c>
      <c r="P11" s="137">
        <f>IF(ROW(P11)+COLUMN(P11)&gt;$AC$1+5,"",IF(ABS($A11-P$32)+ABS($B11-P$33)&gt;$F$1,"",ABS($A11-P$32)+ABS($B11-P$33)))</f>
      </c>
      <c r="Q11" s="136">
        <f>IF(ROW(Q11)+COLUMN(Q11)&gt;$AC$1+5,"",IF(ABS($A11-Q$32)+ABS($B11-Q$33)&gt;$F$1,"",ABS($A11-Q$32)+ABS($B11-Q$33)))</f>
      </c>
      <c r="R11" s="136">
        <f>IF(ROW(R11)+COLUMN(R11)&gt;$AC$1+5,"",IF(ABS($A11-R$32)+ABS($B11-R$33)&gt;$F$1,"",ABS($A11-R$32)+ABS($B11-R$33)))</f>
      </c>
      <c r="S11" s="136">
        <f>IF(ROW(S11)+COLUMN(S11)&gt;$AC$1+5,"",IF(ABS($A11-S$32)+ABS($B11-S$33)&gt;$F$1,"",ABS($A11-S$32)+ABS($B11-S$33)))</f>
      </c>
      <c r="T11" s="137">
        <f>IF(ROW(T11)+COLUMN(T11)&gt;$AC$1+5,"",IF(ABS($A11-T$32)+ABS($B11-T$33)&gt;$F$1,"",ABS($A11-T$32)+ABS($B11-T$33)))</f>
      </c>
      <c r="U11" s="139">
        <f>IF(ROW(U11)+COLUMN(U11)&gt;$AC$1+5,"",IF(ABS($A11-U$32)+ABS($B11-U$33)&gt;$F$1,"",ABS($A11-U$32)+ABS($B11-U$33)))</f>
        <v>530</v>
      </c>
      <c r="V11" s="139">
        <f>IF(ROW(V11)+COLUMN(V11)&gt;$AC$1+5,"",IF(ABS($A11-V$32)+ABS($B11-V$33)&gt;$F$1,"",ABS($A11-V$32)+ABS($B11-V$33)))</f>
        <v>347</v>
      </c>
      <c r="W11" s="139">
        <f>IF(ROW(W11)+COLUMN(W11)&gt;$AC$1+5,"",IF(ABS($A11-W$32)+ABS($B11-W$33)&gt;$F$1,"",ABS($A11-W$32)+ABS($B11-W$33)))</f>
        <v>313</v>
      </c>
      <c r="X11" s="139">
        <f>IF(ROW(X11)+COLUMN(X11)&gt;$AC$1+5,"",IF(ABS($A11-X$32)+ABS($B11-X$33)&gt;$F$1,"",ABS($A11-X$32)+ABS($B11-X$33)))</f>
      </c>
      <c r="Y11" s="139">
        <f>IF(ROW(Y11)+COLUMN(Y11)&gt;$AC$1+5,"",IF(ABS($A11-Y$32)+ABS($B11-Y$33)&gt;$F$1,"",ABS($A11-Y$32)+ABS($B11-Y$33)))</f>
      </c>
      <c r="Z11" s="139">
        <f>IF(ROW(Z11)+COLUMN(Z11)&gt;$AC$1+5,"",IF(ABS($A11-Z$32)+ABS($B11-Z$33)&gt;$F$1,"",ABS($A11-Z$32)+ABS($B11-Z$33)))</f>
      </c>
      <c r="AA11" s="136">
        <f>IF(ROW(AA11)+COLUMN(AA11)&gt;$AC$1+5,"",IF(ABS($A11-AA$32)+ABS($B11-AA$33)&gt;$F$1,"",ABS($A11-AA$32)+ABS($B11-AA$33)))</f>
      </c>
      <c r="AB11" s="136">
        <f>IF(ROW(AB11)+COLUMN(AB11)&gt;$AC$1+5,"",IF(ABS($A11-AB$32)+ABS($B11-AB$33)&gt;$F$1,"",ABS($A11-AB$32)+ABS($B11-AB$33)))</f>
      </c>
      <c r="AC11" s="136">
        <f>IF(ROW(AC11)+COLUMN(AC11)&gt;$AC$1+5,"",IF(ABS($A11-AC$32)+ABS($B11-AC$33)&gt;$F$1,"",ABS($A11-AC$32)+ABS($B11-AC$33)))</f>
      </c>
      <c r="AD11" s="136">
        <f>IF(ROW(AD11)+COLUMN(AD11)&gt;$AC$1+5,"",IF(ABS($A11-AD$32)+ABS($B11-AD$33)&gt;$F$1,"",ABS($A11-AD$32)+ABS($B11-AD$33)))</f>
      </c>
      <c r="AE11" s="136">
        <f>IF(ROW(AE11)+COLUMN(AE11)&gt;$AC$1+5,"",IF(ABS($A11-AE$32)+ABS($B11-AE$33)&gt;$F$1,"",ABS($A11-AE$32)+ABS($B11-AE$33)))</f>
      </c>
    </row>
    <row r="12" spans="1:31" ht="12">
      <c r="A12" s="134">
        <f>'Busking Places'!C12</f>
        <v>545619</v>
      </c>
      <c r="B12" s="135">
        <f>'Busking Places'!D12</f>
        <v>258449</v>
      </c>
      <c r="C12" s="9" t="str">
        <f>'Busking Places'!B12</f>
        <v>Eden Street</v>
      </c>
      <c r="D12" s="136">
        <f>IF(ROW(D12)+COLUMN(D12)&gt;$AC$1+5,"",IF(ABS($A12-D$32)+ABS($B12-D$33)&gt;$F$1,"",ABS($A12-D$32)+ABS($B12-D$33)))</f>
        <v>760</v>
      </c>
      <c r="E12" s="136">
        <f>IF(ROW(E12)+COLUMN(E12)&gt;$AC$1+5,"",IF(ABS($A12-E$32)+ABS($B12-E$33)&gt;$F$1,"",ABS($A12-E$32)+ABS($B12-E$33)))</f>
        <v>645</v>
      </c>
      <c r="F12" s="136">
        <f>IF(ROW(F12)+COLUMN(F12)&gt;$AC$1+5,"",IF(ABS($A12-F$32)+ABS($B12-F$33)&gt;$F$1,"",ABS($A12-F$32)+ABS($B12-F$33)))</f>
        <v>790</v>
      </c>
      <c r="G12" s="136">
        <f>IF(ROW(G12)+COLUMN(G12)&gt;$AC$1+5,"",IF(ABS($A12-G$32)+ABS($B12-G$33)&gt;$F$1,"",ABS($A12-G$32)+ABS($B12-G$33)))</f>
        <v>795</v>
      </c>
      <c r="H12" s="137">
        <f>IF(ROW(H12)+COLUMN(H12)&gt;$AC$1+5,"",IF(ABS($A12-H$32)+ABS($B12-H$33)&gt;$F$1,"",ABS($A12-H$32)+ABS($B12-H$33)))</f>
        <v>731</v>
      </c>
      <c r="I12" s="136">
        <f>IF(ROW(I12)+COLUMN(I12)&gt;$AC$1+5,"",IF(ABS($A12-I$32)+ABS($B12-I$33)&gt;$F$1,"",ABS($A12-I$32)+ABS($B12-I$33)))</f>
        <v>727</v>
      </c>
      <c r="J12" s="136">
        <f>IF(ROW(J12)+COLUMN(J12)&gt;$AC$1+5,"",IF(ABS($A12-J$32)+ABS($B12-J$33)&gt;$F$1,"",ABS($A12-J$32)+ABS($B12-J$33)))</f>
      </c>
      <c r="K12" s="136">
        <f>IF(ROW(K12)+COLUMN(K12)&gt;$AC$1+5,"",IF(ABS($A12-K$32)+ABS($B12-K$33)&gt;$F$1,"",ABS($A12-K$32)+ABS($B12-K$33)))</f>
      </c>
      <c r="L12" s="137">
        <f>IF(ROW(L12)+COLUMN(L12)&gt;$AC$1+5,"",IF(ABS($A12-L$32)+ABS($B12-L$33)&gt;$F$1,"",ABS($A12-L$32)+ABS($B12-L$33)))</f>
        <v>630</v>
      </c>
      <c r="M12" s="136">
        <f>IF(ROW(M12)+COLUMN(M12)&gt;$AC$1+5,"",IF(ABS($A12-M$32)+ABS($B12-M$33)&gt;$F$1,"",ABS($A12-M$32)+ABS($B12-M$33)))</f>
        <v>654</v>
      </c>
      <c r="N12" s="136">
        <f>IF(ROW(N12)+COLUMN(N12)&gt;$AC$1+5,"",IF(ABS($A12-N$32)+ABS($B12-N$33)&gt;$F$1,"",ABS($A12-N$32)+ABS($B12-N$33)))</f>
        <v>541</v>
      </c>
      <c r="O12" s="136">
        <f>IF(ROW(O12)+COLUMN(O12)&gt;$AC$1+5,"",IF(ABS($A12-O$32)+ABS($B12-O$33)&gt;$F$1,"",ABS($A12-O$32)+ABS($B12-O$33)))</f>
      </c>
      <c r="P12" s="137">
        <f>IF(ROW(P12)+COLUMN(P12)&gt;$AC$1+5,"",IF(ABS($A12-P$32)+ABS($B12-P$33)&gt;$F$1,"",ABS($A12-P$32)+ABS($B12-P$33)))</f>
      </c>
      <c r="Q12" s="136">
        <f>IF(ROW(Q12)+COLUMN(Q12)&gt;$AC$1+5,"",IF(ABS($A12-Q$32)+ABS($B12-Q$33)&gt;$F$1,"",ABS($A12-Q$32)+ABS($B12-Q$33)))</f>
      </c>
      <c r="R12" s="136">
        <f>IF(ROW(R12)+COLUMN(R12)&gt;$AC$1+5,"",IF(ABS($A12-R$32)+ABS($B12-R$33)&gt;$F$1,"",ABS($A12-R$32)+ABS($B12-R$33)))</f>
      </c>
      <c r="S12" s="136">
        <f>IF(ROW(S12)+COLUMN(S12)&gt;$AC$1+5,"",IF(ABS($A12-S$32)+ABS($B12-S$33)&gt;$F$1,"",ABS($A12-S$32)+ABS($B12-S$33)))</f>
      </c>
      <c r="T12" s="137">
        <f>IF(ROW(T12)+COLUMN(T12)&gt;$AC$1+5,"",IF(ABS($A12-T$32)+ABS($B12-T$33)&gt;$F$1,"",ABS($A12-T$32)+ABS($B12-T$33)))</f>
        <v>784</v>
      </c>
      <c r="U12" s="139">
        <f>IF(ROW(U12)+COLUMN(U12)&gt;$AC$1+5,"",IF(ABS($A12-U$32)+ABS($B12-U$33)&gt;$F$1,"",ABS($A12-U$32)+ABS($B12-U$33)))</f>
        <v>459</v>
      </c>
      <c r="V12" s="139">
        <f>IF(ROW(V12)+COLUMN(V12)&gt;$AC$1+5,"",IF(ABS($A12-V$32)+ABS($B12-V$33)&gt;$F$1,"",ABS($A12-V$32)+ABS($B12-V$33)))</f>
        <v>276</v>
      </c>
      <c r="W12" s="139">
        <f>IF(ROW(W12)+COLUMN(W12)&gt;$AC$1+5,"",IF(ABS($A12-W$32)+ABS($B12-W$33)&gt;$F$1,"",ABS($A12-W$32)+ABS($B12-W$33)))</f>
      </c>
      <c r="X12" s="139">
        <f>IF(ROW(X12)+COLUMN(X12)&gt;$AC$1+5,"",IF(ABS($A12-X$32)+ABS($B12-X$33)&gt;$F$1,"",ABS($A12-X$32)+ABS($B12-X$33)))</f>
      </c>
      <c r="Y12" s="136">
        <f>IF(ROW(Y12)+COLUMN(Y12)&gt;$AC$1+5,"",IF(ABS($A12-Y$32)+ABS($B12-Y$33)&gt;$F$1,"",ABS($A12-Y$32)+ABS($B12-Y$33)))</f>
      </c>
      <c r="Z12" s="136">
        <f>IF(ROW(Z12)+COLUMN(Z12)&gt;$AC$1+5,"",IF(ABS($A12-Z$32)+ABS($B12-Z$33)&gt;$F$1,"",ABS($A12-Z$32)+ABS($B12-Z$33)))</f>
      </c>
      <c r="AA12" s="136">
        <f>IF(ROW(AA12)+COLUMN(AA12)&gt;$AC$1+5,"",IF(ABS($A12-AA$32)+ABS($B12-AA$33)&gt;$F$1,"",ABS($A12-AA$32)+ABS($B12-AA$33)))</f>
      </c>
      <c r="AB12" s="136">
        <f>IF(ROW(AB12)+COLUMN(AB12)&gt;$AC$1+5,"",IF(ABS($A12-AB$32)+ABS($B12-AB$33)&gt;$F$1,"",ABS($A12-AB$32)+ABS($B12-AB$33)))</f>
      </c>
      <c r="AC12" s="136">
        <f>IF(ROW(AC12)+COLUMN(AC12)&gt;$AC$1+5,"",IF(ABS($A12-AC$32)+ABS($B12-AC$33)&gt;$F$1,"",ABS($A12-AC$32)+ABS($B12-AC$33)))</f>
      </c>
      <c r="AD12" s="136">
        <f>IF(ROW(AD12)+COLUMN(AD12)&gt;$AC$1+5,"",IF(ABS($A12-AD$32)+ABS($B12-AD$33)&gt;$F$1,"",ABS($A12-AD$32)+ABS($B12-AD$33)))</f>
      </c>
      <c r="AE12" s="136">
        <f>IF(ROW(AE12)+COLUMN(AE12)&gt;$AC$1+5,"",IF(ABS($A12-AE$32)+ABS($B12-AE$33)&gt;$F$1,"",ABS($A12-AE$32)+ABS($B12-AE$33)))</f>
      </c>
    </row>
    <row r="13" spans="1:31" ht="12">
      <c r="A13" s="134">
        <f>'Busking Places'!C13</f>
        <v>545851</v>
      </c>
      <c r="B13" s="135">
        <f>'Busking Places'!D13</f>
        <v>258405</v>
      </c>
      <c r="C13" s="9" t="str">
        <f>'Busking Places'!B13</f>
        <v>The Tram Depot</v>
      </c>
      <c r="D13" s="136">
        <f>IF(ROW(D13)+COLUMN(D13)&gt;$AC$1+5,"",IF(ABS($A13-D$32)+ABS($B13-D$33)&gt;$F$1,"",ABS($A13-D$32)+ABS($B13-D$33)))</f>
      </c>
      <c r="E13" s="136">
        <f>IF(ROW(E13)+COLUMN(E13)&gt;$AC$1+5,"",IF(ABS($A13-E$32)+ABS($B13-E$33)&gt;$F$1,"",ABS($A13-E$32)+ABS($B13-E$33)))</f>
      </c>
      <c r="F13" s="136">
        <f>IF(ROW(F13)+COLUMN(F13)&gt;$AC$1+5,"",IF(ABS($A13-F$32)+ABS($B13-F$33)&gt;$F$1,"",ABS($A13-F$32)+ABS($B13-F$33)))</f>
      </c>
      <c r="G13" s="136">
        <f>IF(ROW(G13)+COLUMN(G13)&gt;$AC$1+5,"",IF(ABS($A13-G$32)+ABS($B13-G$33)&gt;$F$1,"",ABS($A13-G$32)+ABS($B13-G$33)))</f>
      </c>
      <c r="H13" s="137">
        <f>IF(ROW(H13)+COLUMN(H13)&gt;$AC$1+5,"",IF(ABS($A13-H$32)+ABS($B13-H$33)&gt;$F$1,"",ABS($A13-H$32)+ABS($B13-H$33)))</f>
      </c>
      <c r="I13" s="136">
        <f>IF(ROW(I13)+COLUMN(I13)&gt;$AC$1+5,"",IF(ABS($A13-I$32)+ABS($B13-I$33)&gt;$F$1,"",ABS($A13-I$32)+ABS($B13-I$33)))</f>
      </c>
      <c r="J13" s="136">
        <f>IF(ROW(J13)+COLUMN(J13)&gt;$AC$1+5,"",IF(ABS($A13-J$32)+ABS($B13-J$33)&gt;$F$1,"",ABS($A13-J$32)+ABS($B13-J$33)))</f>
      </c>
      <c r="K13" s="136">
        <f>IF(ROW(K13)+COLUMN(K13)&gt;$AC$1+5,"",IF(ABS($A13-K$32)+ABS($B13-K$33)&gt;$F$1,"",ABS($A13-K$32)+ABS($B13-K$33)))</f>
      </c>
      <c r="L13" s="137">
        <f>IF(ROW(L13)+COLUMN(L13)&gt;$AC$1+5,"",IF(ABS($A13-L$32)+ABS($B13-L$33)&gt;$F$1,"",ABS($A13-L$32)+ABS($B13-L$33)))</f>
      </c>
      <c r="M13" s="136">
        <f>IF(ROW(M13)+COLUMN(M13)&gt;$AC$1+5,"",IF(ABS($A13-M$32)+ABS($B13-M$33)&gt;$F$1,"",ABS($A13-M$32)+ABS($B13-M$33)))</f>
      </c>
      <c r="N13" s="136">
        <f>IF(ROW(N13)+COLUMN(N13)&gt;$AC$1+5,"",IF(ABS($A13-N$32)+ABS($B13-N$33)&gt;$F$1,"",ABS($A13-N$32)+ABS($B13-N$33)))</f>
        <v>725</v>
      </c>
      <c r="O13" s="136">
        <f>IF(ROW(O13)+COLUMN(O13)&gt;$AC$1+5,"",IF(ABS($A13-O$32)+ABS($B13-O$33)&gt;$F$1,"",ABS($A13-O$32)+ABS($B13-O$33)))</f>
        <v>759</v>
      </c>
      <c r="P13" s="137">
        <f>IF(ROW(P13)+COLUMN(P13)&gt;$AC$1+5,"",IF(ABS($A13-P$32)+ABS($B13-P$33)&gt;$F$1,"",ABS($A13-P$32)+ABS($B13-P$33)))</f>
        <v>612</v>
      </c>
      <c r="Q13" s="136">
        <f>IF(ROW(Q13)+COLUMN(Q13)&gt;$AC$1+5,"",IF(ABS($A13-Q$32)+ABS($B13-Q$33)&gt;$F$1,"",ABS($A13-Q$32)+ABS($B13-Q$33)))</f>
        <v>782</v>
      </c>
      <c r="R13" s="136">
        <f>IF(ROW(R13)+COLUMN(R13)&gt;$AC$1+5,"",IF(ABS($A13-R$32)+ABS($B13-R$33)&gt;$F$1,"",ABS($A13-R$32)+ABS($B13-R$33)))</f>
      </c>
      <c r="S13" s="136">
        <f>IF(ROW(S13)+COLUMN(S13)&gt;$AC$1+5,"",IF(ABS($A13-S$32)+ABS($B13-S$33)&gt;$F$1,"",ABS($A13-S$32)+ABS($B13-S$33)))</f>
        <v>634</v>
      </c>
      <c r="T13" s="137">
        <f>IF(ROW(T13)+COLUMN(T13)&gt;$AC$1+5,"",IF(ABS($A13-T$32)+ABS($B13-T$33)&gt;$F$1,"",ABS($A13-T$32)+ABS($B13-T$33)))</f>
        <v>508</v>
      </c>
      <c r="U13" s="139">
        <f>IF(ROW(U13)+COLUMN(U13)&gt;$AC$1+5,"",IF(ABS($A13-U$32)+ABS($B13-U$33)&gt;$F$1,"",ABS($A13-U$32)+ABS($B13-U$33)))</f>
        <v>183</v>
      </c>
      <c r="V13" s="139">
        <f>IF(ROW(V13)+COLUMN(V13)&gt;$AC$1+5,"",IF(ABS($A13-V$32)+ABS($B13-V$33)&gt;$F$1,"",ABS($A13-V$32)+ABS($B13-V$33)))</f>
      </c>
      <c r="W13" s="139">
        <f>IF(ROW(W13)+COLUMN(W13)&gt;$AC$1+5,"",IF(ABS($A13-W$32)+ABS($B13-W$33)&gt;$F$1,"",ABS($A13-W$32)+ABS($B13-W$33)))</f>
      </c>
      <c r="X13" s="139">
        <f>IF(ROW(X13)+COLUMN(X13)&gt;$AC$1+5,"",IF(ABS($A13-X$32)+ABS($B13-X$33)&gt;$F$1,"",ABS($A13-X$32)+ABS($B13-X$33)))</f>
      </c>
      <c r="Y13" s="136">
        <f>IF(ROW(Y13)+COLUMN(Y13)&gt;$AC$1+5,"",IF(ABS($A13-Y$32)+ABS($B13-Y$33)&gt;$F$1,"",ABS($A13-Y$32)+ABS($B13-Y$33)))</f>
      </c>
      <c r="Z13" s="136">
        <f>IF(ROW(Z13)+COLUMN(Z13)&gt;$AC$1+5,"",IF(ABS($A13-Z$32)+ABS($B13-Z$33)&gt;$F$1,"",ABS($A13-Z$32)+ABS($B13-Z$33)))</f>
      </c>
      <c r="AA13" s="136">
        <f>IF(ROW(AA13)+COLUMN(AA13)&gt;$AC$1+5,"",IF(ABS($A13-AA$32)+ABS($B13-AA$33)&gt;$F$1,"",ABS($A13-AA$32)+ABS($B13-AA$33)))</f>
      </c>
      <c r="AB13" s="136">
        <f>IF(ROW(AB13)+COLUMN(AB13)&gt;$AC$1+5,"",IF(ABS($A13-AB$32)+ABS($B13-AB$33)&gt;$F$1,"",ABS($A13-AB$32)+ABS($B13-AB$33)))</f>
      </c>
      <c r="AC13" s="136">
        <f>IF(ROW(AC13)+COLUMN(AC13)&gt;$AC$1+5,"",IF(ABS($A13-AC$32)+ABS($B13-AC$33)&gt;$F$1,"",ABS($A13-AC$32)+ABS($B13-AC$33)))</f>
      </c>
      <c r="AD13" s="136">
        <f>IF(ROW(AD13)+COLUMN(AD13)&gt;$AC$1+5,"",IF(ABS($A13-AD$32)+ABS($B13-AD$33)&gt;$F$1,"",ABS($A13-AD$32)+ABS($B13-AD$33)))</f>
      </c>
      <c r="AE13" s="136">
        <f>IF(ROW(AE13)+COLUMN(AE13)&gt;$AC$1+5,"",IF(ABS($A13-AE$32)+ABS($B13-AE$33)&gt;$F$1,"",ABS($A13-AE$32)+ABS($B13-AE$33)))</f>
      </c>
    </row>
    <row r="14" spans="1:31" ht="12">
      <c r="A14" s="134">
        <f>'Busking Places'!C14</f>
        <v>545875</v>
      </c>
      <c r="B14" s="135">
        <f>'Busking Places'!D14</f>
        <v>258246</v>
      </c>
      <c r="C14" s="138" t="str">
        <f>'Busking Places'!B14</f>
        <v>Bradmore Court</v>
      </c>
      <c r="D14" s="137">
        <f>IF(ROW(D14)+COLUMN(D14)&gt;$AC$1+5,"",IF(ABS($A14-D$32)+ABS($B14-D$33)&gt;$F$1,"",ABS($A14-D$32)+ABS($B14-D$33)))</f>
      </c>
      <c r="E14" s="137">
        <f>IF(ROW(E14)+COLUMN(E14)&gt;$AC$1+5,"",IF(ABS($A14-E$32)+ABS($B14-E$33)&gt;$F$1,"",ABS($A14-E$32)+ABS($B14-E$33)))</f>
      </c>
      <c r="F14" s="137">
        <f>IF(ROW(F14)+COLUMN(F14)&gt;$AC$1+5,"",IF(ABS($A14-F$32)+ABS($B14-F$33)&gt;$F$1,"",ABS($A14-F$32)+ABS($B14-F$33)))</f>
      </c>
      <c r="G14" s="137">
        <f>IF(ROW(G14)+COLUMN(G14)&gt;$AC$1+5,"",IF(ABS($A14-G$32)+ABS($B14-G$33)&gt;$F$1,"",ABS($A14-G$32)+ABS($B14-G$33)))</f>
      </c>
      <c r="H14" s="137">
        <f>IF(ROW(H14)+COLUMN(H14)&gt;$AC$1+5,"",IF(ABS($A14-H$32)+ABS($B14-H$33)&gt;$F$1,"",ABS($A14-H$32)+ABS($B14-H$33)))</f>
      </c>
      <c r="I14" s="137">
        <f>IF(ROW(I14)+COLUMN(I14)&gt;$AC$1+5,"",IF(ABS($A14-I$32)+ABS($B14-I$33)&gt;$F$1,"",ABS($A14-I$32)+ABS($B14-I$33)))</f>
      </c>
      <c r="J14" s="137">
        <f>IF(ROW(J14)+COLUMN(J14)&gt;$AC$1+5,"",IF(ABS($A14-J$32)+ABS($B14-J$33)&gt;$F$1,"",ABS($A14-J$32)+ABS($B14-J$33)))</f>
      </c>
      <c r="K14" s="137">
        <f>IF(ROW(K14)+COLUMN(K14)&gt;$AC$1+5,"",IF(ABS($A14-K$32)+ABS($B14-K$33)&gt;$F$1,"",ABS($A14-K$32)+ABS($B14-K$33)))</f>
      </c>
      <c r="L14" s="137">
        <f>IF(ROW(L14)+COLUMN(L14)&gt;$AC$1+5,"",IF(ABS($A14-L$32)+ABS($B14-L$33)&gt;$F$1,"",ABS($A14-L$32)+ABS($B14-L$33)))</f>
        <v>683</v>
      </c>
      <c r="M14" s="137">
        <f>IF(ROW(M14)+COLUMN(M14)&gt;$AC$1+5,"",IF(ABS($A14-M$32)+ABS($B14-M$33)&gt;$F$1,"",ABS($A14-M$32)+ABS($B14-M$33)))</f>
        <v>707</v>
      </c>
      <c r="N14" s="137">
        <f>IF(ROW(N14)+COLUMN(N14)&gt;$AC$1+5,"",IF(ABS($A14-N$32)+ABS($B14-N$33)&gt;$F$1,"",ABS($A14-N$32)+ABS($B14-N$33)))</f>
        <v>590</v>
      </c>
      <c r="O14" s="137">
        <f>IF(ROW(O14)+COLUMN(O14)&gt;$AC$1+5,"",IF(ABS($A14-O$32)+ABS($B14-O$33)&gt;$F$1,"",ABS($A14-O$32)+ABS($B14-O$33)))</f>
        <v>576</v>
      </c>
      <c r="P14" s="137">
        <f>IF(ROW(P14)+COLUMN(P14)&gt;$AC$1+5,"",IF(ABS($A14-P$32)+ABS($B14-P$33)&gt;$F$1,"",ABS($A14-P$32)+ABS($B14-P$33)))</f>
        <v>429</v>
      </c>
      <c r="Q14" s="137">
        <f>IF(ROW(Q14)+COLUMN(Q14)&gt;$AC$1+5,"",IF(ABS($A14-Q$32)+ABS($B14-Q$33)&gt;$F$1,"",ABS($A14-Q$32)+ABS($B14-Q$33)))</f>
        <v>599</v>
      </c>
      <c r="R14" s="137">
        <f>IF(ROW(R14)+COLUMN(R14)&gt;$AC$1+5,"",IF(ABS($A14-R$32)+ABS($B14-R$33)&gt;$F$1,"",ABS($A14-R$32)+ABS($B14-R$33)))</f>
        <v>776</v>
      </c>
      <c r="S14" s="137">
        <f>IF(ROW(S14)+COLUMN(S14)&gt;$AC$1+5,"",IF(ABS($A14-S$32)+ABS($B14-S$33)&gt;$F$1,"",ABS($A14-S$32)+ABS($B14-S$33)))</f>
        <v>451</v>
      </c>
      <c r="T14" s="139">
        <f>IF(ROW(T14)+COLUMN(T14)&gt;$AC$1+5,"",IF(ABS($A14-T$32)+ABS($B14-T$33)&gt;$F$1,"",ABS($A14-T$32)+ABS($B14-T$33)))</f>
        <v>501</v>
      </c>
      <c r="U14" s="139">
        <f>IF(ROW(U14)+COLUMN(U14)&gt;$AC$1+5,"",IF(ABS($A14-U$32)+ABS($B14-U$33)&gt;$F$1,"",ABS($A14-U$32)+ABS($B14-U$33)))</f>
      </c>
      <c r="V14" s="139">
        <f>IF(ROW(V14)+COLUMN(V14)&gt;$AC$1+5,"",IF(ABS($A14-V$32)+ABS($B14-V$33)&gt;$F$1,"",ABS($A14-V$32)+ABS($B14-V$33)))</f>
      </c>
      <c r="W14" s="139">
        <f>IF(ROW(W14)+COLUMN(W14)&gt;$AC$1+5,"",IF(ABS($A14-W$32)+ABS($B14-W$33)&gt;$F$1,"",ABS($A14-W$32)+ABS($B14-W$33)))</f>
      </c>
      <c r="X14" s="139">
        <f>IF(ROW(X14)+COLUMN(X14)&gt;$AC$1+5,"",IF(ABS($A14-X$32)+ABS($B14-X$33)&gt;$F$1,"",ABS($A14-X$32)+ABS($B14-X$33)))</f>
      </c>
      <c r="Y14" s="136">
        <f>IF(ROW(Y14)+COLUMN(Y14)&gt;$AC$1+5,"",IF(ABS($A14-Y$32)+ABS($B14-Y$33)&gt;$F$1,"",ABS($A14-Y$32)+ABS($B14-Y$33)))</f>
      </c>
      <c r="Z14" s="136">
        <f>IF(ROW(Z14)+COLUMN(Z14)&gt;$AC$1+5,"",IF(ABS($A14-Z$32)+ABS($B14-Z$33)&gt;$F$1,"",ABS($A14-Z$32)+ABS($B14-Z$33)))</f>
      </c>
      <c r="AA14" s="136">
        <f>IF(ROW(AA14)+COLUMN(AA14)&gt;$AC$1+5,"",IF(ABS($A14-AA$32)+ABS($B14-AA$33)&gt;$F$1,"",ABS($A14-AA$32)+ABS($B14-AA$33)))</f>
      </c>
      <c r="AB14" s="136">
        <f>IF(ROW(AB14)+COLUMN(AB14)&gt;$AC$1+5,"",IF(ABS($A14-AB$32)+ABS($B14-AB$33)&gt;$F$1,"",ABS($A14-AB$32)+ABS($B14-AB$33)))</f>
      </c>
      <c r="AC14" s="136">
        <f>IF(ROW(AC14)+COLUMN(AC14)&gt;$AC$1+5,"",IF(ABS($A14-AC$32)+ABS($B14-AC$33)&gt;$F$1,"",ABS($A14-AC$32)+ABS($B14-AC$33)))</f>
      </c>
      <c r="AD14" s="136">
        <f>IF(ROW(AD14)+COLUMN(AD14)&gt;$AC$1+5,"",IF(ABS($A14-AD$32)+ABS($B14-AD$33)&gt;$F$1,"",ABS($A14-AD$32)+ABS($B14-AD$33)))</f>
      </c>
      <c r="AE14" s="136">
        <f>IF(ROW(AE14)+COLUMN(AE14)&gt;$AC$1+5,"",IF(ABS($A14-AE$32)+ABS($B14-AE$33)&gt;$F$1,"",ABS($A14-AE$32)+ABS($B14-AE$33)))</f>
      </c>
    </row>
    <row r="15" spans="1:31" ht="12">
      <c r="A15" s="134">
        <f>'Busking Places'!C15</f>
        <v>546288</v>
      </c>
      <c r="B15" s="135">
        <f>'Busking Places'!D15</f>
        <v>258334</v>
      </c>
      <c r="C15" s="9" t="str">
        <f>'Busking Places'!B15</f>
        <v>Alexandra Arms</v>
      </c>
      <c r="D15" s="136">
        <f>IF(ROW(D15)+COLUMN(D15)&gt;$AC$1+5,"",IF(ABS($A15-D$32)+ABS($B15-D$33)&gt;$F$1,"",ABS($A15-D$32)+ABS($B15-D$33)))</f>
      </c>
      <c r="E15" s="136">
        <f>IF(ROW(E15)+COLUMN(E15)&gt;$AC$1+5,"",IF(ABS($A15-E$32)+ABS($B15-E$33)&gt;$F$1,"",ABS($A15-E$32)+ABS($B15-E$33)))</f>
      </c>
      <c r="F15" s="136">
        <f>IF(ROW(F15)+COLUMN(F15)&gt;$AC$1+5,"",IF(ABS($A15-F$32)+ABS($B15-F$33)&gt;$F$1,"",ABS($A15-F$32)+ABS($B15-F$33)))</f>
      </c>
      <c r="G15" s="136">
        <f>IF(ROW(G15)+COLUMN(G15)&gt;$AC$1+5,"",IF(ABS($A15-G$32)+ABS($B15-G$33)&gt;$F$1,"",ABS($A15-G$32)+ABS($B15-G$33)))</f>
      </c>
      <c r="H15" s="137">
        <f>IF(ROW(H15)+COLUMN(H15)&gt;$AC$1+5,"",IF(ABS($A15-H$32)+ABS($B15-H$33)&gt;$F$1,"",ABS($A15-H$32)+ABS($B15-H$33)))</f>
      </c>
      <c r="I15" s="136">
        <f>IF(ROW(I15)+COLUMN(I15)&gt;$AC$1+5,"",IF(ABS($A15-I$32)+ABS($B15-I$33)&gt;$F$1,"",ABS($A15-I$32)+ABS($B15-I$33)))</f>
      </c>
      <c r="J15" s="136">
        <f>IF(ROW(J15)+COLUMN(J15)&gt;$AC$1+5,"",IF(ABS($A15-J$32)+ABS($B15-J$33)&gt;$F$1,"",ABS($A15-J$32)+ABS($B15-J$33)))</f>
      </c>
      <c r="K15" s="136">
        <f>IF(ROW(K15)+COLUMN(K15)&gt;$AC$1+5,"",IF(ABS($A15-K$32)+ABS($B15-K$33)&gt;$F$1,"",ABS($A15-K$32)+ABS($B15-K$33)))</f>
      </c>
      <c r="L15" s="137">
        <f>IF(ROW(L15)+COLUMN(L15)&gt;$AC$1+5,"",IF(ABS($A15-L$32)+ABS($B15-L$33)&gt;$F$1,"",ABS($A15-L$32)+ABS($B15-L$33)))</f>
      </c>
      <c r="M15" s="136">
        <f>IF(ROW(M15)+COLUMN(M15)&gt;$AC$1+5,"",IF(ABS($A15-M$32)+ABS($B15-M$33)&gt;$F$1,"",ABS($A15-M$32)+ABS($B15-M$33)))</f>
      </c>
      <c r="N15" s="136">
        <f>IF(ROW(N15)+COLUMN(N15)&gt;$AC$1+5,"",IF(ABS($A15-N$32)+ABS($B15-N$33)&gt;$F$1,"",ABS($A15-N$32)+ABS($B15-N$33)))</f>
      </c>
      <c r="O15" s="136">
        <f>IF(ROW(O15)+COLUMN(O15)&gt;$AC$1+5,"",IF(ABS($A15-O$32)+ABS($B15-O$33)&gt;$F$1,"",ABS($A15-O$32)+ABS($B15-O$33)))</f>
        <v>795</v>
      </c>
      <c r="P15" s="137">
        <f>IF(ROW(P15)+COLUMN(P15)&gt;$AC$1+5,"",IF(ABS($A15-P$32)+ABS($B15-P$33)&gt;$F$1,"",ABS($A15-P$32)+ABS($B15-P$33)))</f>
      </c>
      <c r="Q15" s="139">
        <f>IF(ROW(Q15)+COLUMN(Q15)&gt;$AC$1+5,"",IF(ABS($A15-Q$32)+ABS($B15-Q$33)&gt;$F$1,"",ABS($A15-Q$32)+ABS($B15-Q$33)))</f>
        <v>512</v>
      </c>
      <c r="R15" s="139">
        <f>IF(ROW(R15)+COLUMN(R15)&gt;$AC$1+5,"",IF(ABS($A15-R$32)+ABS($B15-R$33)&gt;$F$1,"",ABS($A15-R$32)+ABS($B15-R$33)))</f>
        <v>481</v>
      </c>
      <c r="S15" s="139">
        <f>IF(ROW(S15)+COLUMN(S15)&gt;$AC$1+5,"",IF(ABS($A15-S$32)+ABS($B15-S$33)&gt;$F$1,"",ABS($A15-S$32)+ABS($B15-S$33)))</f>
        <v>176</v>
      </c>
      <c r="T15" s="139"/>
      <c r="U15" s="139"/>
      <c r="V15" s="139"/>
      <c r="W15" s="139"/>
      <c r="X15" s="139"/>
      <c r="Y15" s="136"/>
      <c r="Z15" s="136"/>
      <c r="AA15" s="136"/>
      <c r="AB15" s="136"/>
      <c r="AC15" s="136"/>
      <c r="AD15" s="136"/>
      <c r="AE15" s="136"/>
    </row>
    <row r="16" spans="1:31" ht="12">
      <c r="A16" s="134">
        <f>'Busking Places'!C16</f>
        <v>546263</v>
      </c>
      <c r="B16" s="135">
        <f>'Busking Places'!D16</f>
        <v>258183</v>
      </c>
      <c r="C16" s="9" t="str">
        <f>'Busking Places'!B16</f>
        <v>The Cambridge Blue</v>
      </c>
      <c r="D16" s="136">
        <f>IF(ROW(D16)+COLUMN(D16)&gt;$AC$1+5,"",IF(ABS($A16-D$32)+ABS($B16-D$33)&gt;$F$1,"",ABS($A16-D$32)+ABS($B16-D$33)))</f>
      </c>
      <c r="E16" s="136">
        <f>IF(ROW(E16)+COLUMN(E16)&gt;$AC$1+5,"",IF(ABS($A16-E$32)+ABS($B16-E$33)&gt;$F$1,"",ABS($A16-E$32)+ABS($B16-E$33)))</f>
      </c>
      <c r="F16" s="136">
        <f>IF(ROW(F16)+COLUMN(F16)&gt;$AC$1+5,"",IF(ABS($A16-F$32)+ABS($B16-F$33)&gt;$F$1,"",ABS($A16-F$32)+ABS($B16-F$33)))</f>
      </c>
      <c r="G16" s="136">
        <f>IF(ROW(G16)+COLUMN(G16)&gt;$AC$1+5,"",IF(ABS($A16-G$32)+ABS($B16-G$33)&gt;$F$1,"",ABS($A16-G$32)+ABS($B16-G$33)))</f>
      </c>
      <c r="H16" s="137">
        <f>IF(ROW(H16)+COLUMN(H16)&gt;$AC$1+5,"",IF(ABS($A16-H$32)+ABS($B16-H$33)&gt;$F$1,"",ABS($A16-H$32)+ABS($B16-H$33)))</f>
      </c>
      <c r="I16" s="136">
        <f>IF(ROW(I16)+COLUMN(I16)&gt;$AC$1+5,"",IF(ABS($A16-I$32)+ABS($B16-I$33)&gt;$F$1,"",ABS($A16-I$32)+ABS($B16-I$33)))</f>
      </c>
      <c r="J16" s="136">
        <f>IF(ROW(J16)+COLUMN(J16)&gt;$AC$1+5,"",IF(ABS($A16-J$32)+ABS($B16-J$33)&gt;$F$1,"",ABS($A16-J$32)+ABS($B16-J$33)))</f>
      </c>
      <c r="K16" s="136">
        <f>IF(ROW(K16)+COLUMN(K16)&gt;$AC$1+5,"",IF(ABS($A16-K$32)+ABS($B16-K$33)&gt;$F$1,"",ABS($A16-K$32)+ABS($B16-K$33)))</f>
      </c>
      <c r="L16" s="137">
        <f>IF(ROW(L16)+COLUMN(L16)&gt;$AC$1+5,"",IF(ABS($A16-L$32)+ABS($B16-L$33)&gt;$F$1,"",ABS($A16-L$32)+ABS($B16-L$33)))</f>
      </c>
      <c r="M16" s="136">
        <f>IF(ROW(M16)+COLUMN(M16)&gt;$AC$1+5,"",IF(ABS($A16-M$32)+ABS($B16-M$33)&gt;$F$1,"",ABS($A16-M$32)+ABS($B16-M$33)))</f>
      </c>
      <c r="N16" s="136">
        <f>IF(ROW(N16)+COLUMN(N16)&gt;$AC$1+5,"",IF(ABS($A16-N$32)+ABS($B16-N$33)&gt;$F$1,"",ABS($A16-N$32)+ABS($B16-N$33)))</f>
      </c>
      <c r="O16" s="136">
        <f>IF(ROW(O16)+COLUMN(O16)&gt;$AC$1+5,"",IF(ABS($A16-O$32)+ABS($B16-O$33)&gt;$F$1,"",ABS($A16-O$32)+ABS($B16-O$33)))</f>
        <v>619</v>
      </c>
      <c r="P16" s="137">
        <f>IF(ROW(P16)+COLUMN(P16)&gt;$AC$1+5,"",IF(ABS($A16-P$32)+ABS($B16-P$33)&gt;$F$1,"",ABS($A16-P$32)+ABS($B16-P$33)))</f>
        <v>640</v>
      </c>
      <c r="Q16" s="139">
        <f>IF(ROW(Q16)+COLUMN(Q16)&gt;$AC$1+5,"",IF(ABS($A16-Q$32)+ABS($B16-Q$33)&gt;$F$1,"",ABS($A16-Q$32)+ABS($B16-Q$33)))</f>
        <v>336</v>
      </c>
      <c r="R16" s="139">
        <f>IF(ROW(R16)+COLUMN(R16)&gt;$AC$1+5,"",IF(ABS($A16-R$32)+ABS($B16-R$33)&gt;$F$1,"",ABS($A16-R$32)+ABS($B16-R$33)))</f>
        <v>325</v>
      </c>
      <c r="S16" s="139">
        <f>IF(ROW(S16)+COLUMN(S16)&gt;$AC$1+5,"",IF(ABS($A16-S$32)+ABS($B16-S$33)&gt;$F$1,"",ABS($A16-S$32)+ABS($B16-S$33)))</f>
      </c>
      <c r="T16" s="139">
        <f>IF(ROW(T16)+COLUMN(T16)&gt;$AC$1+5,"",IF(ABS($A16-T$32)+ABS($B16-T$33)&gt;$F$1,"",ABS($A16-T$32)+ABS($B16-T$33)))</f>
      </c>
      <c r="U16" s="136">
        <f>IF(ROW(U16)+COLUMN(U16)&gt;$AC$1+5,"",IF(ABS($A16-U$32)+ABS($B16-U$33)&gt;$F$1,"",ABS($A16-U$32)+ABS($B16-U$33)))</f>
      </c>
      <c r="V16" s="136">
        <f>IF(ROW(V16)+COLUMN(V16)&gt;$AC$1+5,"",IF(ABS($A16-V$32)+ABS($B16-V$33)&gt;$F$1,"",ABS($A16-V$32)+ABS($B16-V$33)))</f>
      </c>
      <c r="W16" s="136">
        <f>IF(ROW(W16)+COLUMN(W16)&gt;$AC$1+5,"",IF(ABS($A16-W$32)+ABS($B16-W$33)&gt;$F$1,"",ABS($A16-W$32)+ABS($B16-W$33)))</f>
      </c>
      <c r="X16" s="136">
        <f>IF(ROW(X16)+COLUMN(X16)&gt;$AC$1+5,"",IF(ABS($A16-X$32)+ABS($B16-X$33)&gt;$F$1,"",ABS($A16-X$32)+ABS($B16-X$33)))</f>
      </c>
      <c r="Y16" s="136">
        <f>IF(ROW(Y16)+COLUMN(Y16)&gt;$AC$1+5,"",IF(ABS($A16-Y$32)+ABS($B16-Y$33)&gt;$F$1,"",ABS($A16-Y$32)+ABS($B16-Y$33)))</f>
      </c>
      <c r="Z16" s="136">
        <f>IF(ROW(Z16)+COLUMN(Z16)&gt;$AC$1+5,"",IF(ABS($A16-Z$32)+ABS($B16-Z$33)&gt;$F$1,"",ABS($A16-Z$32)+ABS($B16-Z$33)))</f>
      </c>
      <c r="AA16" s="136">
        <f>IF(ROW(AA16)+COLUMN(AA16)&gt;$AC$1+5,"",IF(ABS($A16-AA$32)+ABS($B16-AA$33)&gt;$F$1,"",ABS($A16-AA$32)+ABS($B16-AA$33)))</f>
      </c>
      <c r="AB16" s="136">
        <f>IF(ROW(AB16)+COLUMN(AB16)&gt;$AC$1+5,"",IF(ABS($A16-AB$32)+ABS($B16-AB$33)&gt;$F$1,"",ABS($A16-AB$32)+ABS($B16-AB$33)))</f>
      </c>
      <c r="AC16" s="136">
        <f>IF(ROW(AC16)+COLUMN(AC16)&gt;$AC$1+5,"",IF(ABS($A16-AC$32)+ABS($B16-AC$33)&gt;$F$1,"",ABS($A16-AC$32)+ABS($B16-AC$33)))</f>
      </c>
      <c r="AD16" s="136">
        <f>IF(ROW(AD16)+COLUMN(AD16)&gt;$AC$1+5,"",IF(ABS($A16-AD$32)+ABS($B16-AD$33)&gt;$F$1,"",ABS($A16-AD$32)+ABS($B16-AD$33)))</f>
      </c>
      <c r="AE16" s="136">
        <f>IF(ROW(AE16)+COLUMN(AE16)&gt;$AC$1+5,"",IF(ABS($A16-AE$32)+ABS($B16-AE$33)&gt;$F$1,"",ABS($A16-AE$32)+ABS($B16-AE$33)))</f>
      </c>
    </row>
    <row r="17" spans="1:31" ht="12">
      <c r="A17" s="134">
        <f>'Busking Places'!C17</f>
        <v>546273</v>
      </c>
      <c r="B17" s="135">
        <f>'Busking Places'!D17</f>
        <v>257868</v>
      </c>
      <c r="C17" s="9" t="str">
        <f>'Busking Places'!B17</f>
        <v>opposite Al-Amin</v>
      </c>
      <c r="D17" s="136">
        <f>IF(ROW(D17)+COLUMN(D17)&gt;$AC$1+5,"",IF(ABS($A17-D$32)+ABS($B17-D$33)&gt;$F$1,"",ABS($A17-D$32)+ABS($B17-D$33)))</f>
      </c>
      <c r="E17" s="136">
        <f>IF(ROW(E17)+COLUMN(E17)&gt;$AC$1+5,"",IF(ABS($A17-E$32)+ABS($B17-E$33)&gt;$F$1,"",ABS($A17-E$32)+ABS($B17-E$33)))</f>
      </c>
      <c r="F17" s="136">
        <f>IF(ROW(F17)+COLUMN(F17)&gt;$AC$1+5,"",IF(ABS($A17-F$32)+ABS($B17-F$33)&gt;$F$1,"",ABS($A17-F$32)+ABS($B17-F$33)))</f>
      </c>
      <c r="G17" s="136">
        <f>IF(ROW(G17)+COLUMN(G17)&gt;$AC$1+5,"",IF(ABS($A17-G$32)+ABS($B17-G$33)&gt;$F$1,"",ABS($A17-G$32)+ABS($B17-G$33)))</f>
      </c>
      <c r="H17" s="137">
        <f>IF(ROW(H17)+COLUMN(H17)&gt;$AC$1+5,"",IF(ABS($A17-H$32)+ABS($B17-H$33)&gt;$F$1,"",ABS($A17-H$32)+ABS($B17-H$33)))</f>
      </c>
      <c r="I17" s="136">
        <f>IF(ROW(I17)+COLUMN(I17)&gt;$AC$1+5,"",IF(ABS($A17-I$32)+ABS($B17-I$33)&gt;$F$1,"",ABS($A17-I$32)+ABS($B17-I$33)))</f>
      </c>
      <c r="J17" s="136">
        <f>IF(ROW(J17)+COLUMN(J17)&gt;$AC$1+5,"",IF(ABS($A17-J$32)+ABS($B17-J$33)&gt;$F$1,"",ABS($A17-J$32)+ABS($B17-J$33)))</f>
      </c>
      <c r="K17" s="136">
        <f>IF(ROW(K17)+COLUMN(K17)&gt;$AC$1+5,"",IF(ABS($A17-K$32)+ABS($B17-K$33)&gt;$F$1,"",ABS($A17-K$32)+ABS($B17-K$33)))</f>
      </c>
      <c r="L17" s="137">
        <f>IF(ROW(L17)+COLUMN(L17)&gt;$AC$1+5,"",IF(ABS($A17-L$32)+ABS($B17-L$33)&gt;$F$1,"",ABS($A17-L$32)+ABS($B17-L$33)))</f>
      </c>
      <c r="M17" s="136">
        <f>IF(ROW(M17)+COLUMN(M17)&gt;$AC$1+5,"",IF(ABS($A17-M$32)+ABS($B17-M$33)&gt;$F$1,"",ABS($A17-M$32)+ABS($B17-M$33)))</f>
        <v>765</v>
      </c>
      <c r="N17" s="136">
        <f>IF(ROW(N17)+COLUMN(N17)&gt;$AC$1+5,"",IF(ABS($A17-N$32)+ABS($B17-N$33)&gt;$F$1,"",ABS($A17-N$32)+ABS($B17-N$33)))</f>
        <v>694</v>
      </c>
      <c r="O17" s="136">
        <f>IF(ROW(O17)+COLUMN(O17)&gt;$AC$1+5,"",IF(ABS($A17-O$32)+ABS($B17-O$33)&gt;$F$1,"",ABS($A17-O$32)+ABS($B17-O$33)))</f>
        <v>314</v>
      </c>
      <c r="P17" s="137">
        <f>IF(ROW(P17)+COLUMN(P17)&gt;$AC$1+5,"",IF(ABS($A17-P$32)+ABS($B17-P$33)&gt;$F$1,"",ABS($A17-P$32)+ABS($B17-P$33)))</f>
        <v>347</v>
      </c>
      <c r="Q17" s="139">
        <f>IF(ROW(Q17)+COLUMN(Q17)&gt;$AC$1+5,"",IF(ABS($A17-Q$32)+ABS($B17-Q$33)&gt;$F$1,"",ABS($A17-Q$32)+ABS($B17-Q$33)))</f>
        <v>177</v>
      </c>
      <c r="R17" s="139">
        <f>IF(ROW(R17)+COLUMN(R17)&gt;$AC$1+5,"",IF(ABS($A17-R$32)+ABS($B17-R$33)&gt;$F$1,"",ABS($A17-R$32)+ABS($B17-R$33)))</f>
      </c>
      <c r="S17" s="139">
        <f>IF(ROW(S17)+COLUMN(S17)&gt;$AC$1+5,"",IF(ABS($A17-S$32)+ABS($B17-S$33)&gt;$F$1,"",ABS($A17-S$32)+ABS($B17-S$33)))</f>
      </c>
      <c r="T17" s="139">
        <f>IF(ROW(T17)+COLUMN(T17)&gt;$AC$1+5,"",IF(ABS($A17-T$32)+ABS($B17-T$33)&gt;$F$1,"",ABS($A17-T$32)+ABS($B17-T$33)))</f>
      </c>
      <c r="U17" s="136">
        <f>IF(ROW(U17)+COLUMN(U17)&gt;$AC$1+5,"",IF(ABS($A17-U$32)+ABS($B17-U$33)&gt;$F$1,"",ABS($A17-U$32)+ABS($B17-U$33)))</f>
      </c>
      <c r="V17" s="136">
        <f>IF(ROW(V17)+COLUMN(V17)&gt;$AC$1+5,"",IF(ABS($A17-V$32)+ABS($B17-V$33)&gt;$F$1,"",ABS($A17-V$32)+ABS($B17-V$33)))</f>
      </c>
      <c r="W17" s="136">
        <f>IF(ROW(W17)+COLUMN(W17)&gt;$AC$1+5,"",IF(ABS($A17-W$32)+ABS($B17-W$33)&gt;$F$1,"",ABS($A17-W$32)+ABS($B17-W$33)))</f>
      </c>
      <c r="X17" s="136">
        <f>IF(ROW(X17)+COLUMN(X17)&gt;$AC$1+5,"",IF(ABS($A17-X$32)+ABS($B17-X$33)&gt;$F$1,"",ABS($A17-X$32)+ABS($B17-X$33)))</f>
      </c>
      <c r="Y17" s="136">
        <f>IF(ROW(Y17)+COLUMN(Y17)&gt;$AC$1+5,"",IF(ABS($A17-Y$32)+ABS($B17-Y$33)&gt;$F$1,"",ABS($A17-Y$32)+ABS($B17-Y$33)))</f>
      </c>
      <c r="Z17" s="136">
        <f>IF(ROW(Z17)+COLUMN(Z17)&gt;$AC$1+5,"",IF(ABS($A17-Z$32)+ABS($B17-Z$33)&gt;$F$1,"",ABS($A17-Z$32)+ABS($B17-Z$33)))</f>
      </c>
      <c r="AA17" s="136">
        <f>IF(ROW(AA17)+COLUMN(AA17)&gt;$AC$1+5,"",IF(ABS($A17-AA$32)+ABS($B17-AA$33)&gt;$F$1,"",ABS($A17-AA$32)+ABS($B17-AA$33)))</f>
      </c>
      <c r="AB17" s="136">
        <f>IF(ROW(AB17)+COLUMN(AB17)&gt;$AC$1+5,"",IF(ABS($A17-AB$32)+ABS($B17-AB$33)&gt;$F$1,"",ABS($A17-AB$32)+ABS($B17-AB$33)))</f>
      </c>
      <c r="AC17" s="136">
        <f>IF(ROW(AC17)+COLUMN(AC17)&gt;$AC$1+5,"",IF(ABS($A17-AC$32)+ABS($B17-AC$33)&gt;$F$1,"",ABS($A17-AC$32)+ABS($B17-AC$33)))</f>
      </c>
      <c r="AD17" s="136">
        <f>IF(ROW(AD17)+COLUMN(AD17)&gt;$AC$1+5,"",IF(ABS($A17-AD$32)+ABS($B17-AD$33)&gt;$F$1,"",ABS($A17-AD$32)+ABS($B17-AD$33)))</f>
      </c>
      <c r="AE17" s="136">
        <f>IF(ROW(AE17)+COLUMN(AE17)&gt;$AC$1+5,"",IF(ABS($A17-AE$32)+ABS($B17-AE$33)&gt;$F$1,"",ABS($A17-AE$32)+ABS($B17-AE$33)))</f>
      </c>
    </row>
    <row r="18" spans="1:31" ht="12">
      <c r="A18" s="134">
        <f>'Busking Places'!C18</f>
        <v>546169</v>
      </c>
      <c r="B18" s="135">
        <f>'Busking Places'!D18</f>
        <v>257941</v>
      </c>
      <c r="C18" s="9" t="str">
        <f>'Busking Places'!B18</f>
        <v>Ditchburn Place</v>
      </c>
      <c r="D18" s="136">
        <f>IF(ROW(D18)+COLUMN(D18)&gt;$AC$1+5,"",IF(ABS($A18-D$32)+ABS($B18-D$33)&gt;$F$1,"",ABS($A18-D$32)+ABS($B18-D$33)))</f>
      </c>
      <c r="E18" s="136">
        <f>IF(ROW(E18)+COLUMN(E18)&gt;$AC$1+5,"",IF(ABS($A18-E$32)+ABS($B18-E$33)&gt;$F$1,"",ABS($A18-E$32)+ABS($B18-E$33)))</f>
      </c>
      <c r="F18" s="136">
        <f>IF(ROW(F18)+COLUMN(F18)&gt;$AC$1+5,"",IF(ABS($A18-F$32)+ABS($B18-F$33)&gt;$F$1,"",ABS($A18-F$32)+ABS($B18-F$33)))</f>
      </c>
      <c r="G18" s="136">
        <f>IF(ROW(G18)+COLUMN(G18)&gt;$AC$1+5,"",IF(ABS($A18-G$32)+ABS($B18-G$33)&gt;$F$1,"",ABS($A18-G$32)+ABS($B18-G$33)))</f>
      </c>
      <c r="H18" s="137">
        <f>IF(ROW(H18)+COLUMN(H18)&gt;$AC$1+5,"",IF(ABS($A18-H$32)+ABS($B18-H$33)&gt;$F$1,"",ABS($A18-H$32)+ABS($B18-H$33)))</f>
      </c>
      <c r="I18" s="136">
        <f>IF(ROW(I18)+COLUMN(I18)&gt;$AC$1+5,"",IF(ABS($A18-I$32)+ABS($B18-I$33)&gt;$F$1,"",ABS($A18-I$32)+ABS($B18-I$33)))</f>
      </c>
      <c r="J18" s="136">
        <f>IF(ROW(J18)+COLUMN(J18)&gt;$AC$1+5,"",IF(ABS($A18-J$32)+ABS($B18-J$33)&gt;$F$1,"",ABS($A18-J$32)+ABS($B18-J$33)))</f>
      </c>
      <c r="K18" s="136">
        <f>IF(ROW(K18)+COLUMN(K18)&gt;$AC$1+5,"",IF(ABS($A18-K$32)+ABS($B18-K$33)&gt;$F$1,"",ABS($A18-K$32)+ABS($B18-K$33)))</f>
      </c>
      <c r="L18" s="137">
        <f>IF(ROW(L18)+COLUMN(L18)&gt;$AC$1+5,"",IF(ABS($A18-L$32)+ABS($B18-L$33)&gt;$F$1,"",ABS($A18-L$32)+ABS($B18-L$33)))</f>
      </c>
      <c r="M18" s="136">
        <f>IF(ROW(M18)+COLUMN(M18)&gt;$AC$1+5,"",IF(ABS($A18-M$32)+ABS($B18-M$33)&gt;$F$1,"",ABS($A18-M$32)+ABS($B18-M$33)))</f>
        <v>696</v>
      </c>
      <c r="N18" s="136">
        <f>IF(ROW(N18)+COLUMN(N18)&gt;$AC$1+5,"",IF(ABS($A18-N$32)+ABS($B18-N$33)&gt;$F$1,"",ABS($A18-N$32)+ABS($B18-N$33)))</f>
        <v>579</v>
      </c>
      <c r="O18" s="136">
        <f>IF(ROW(O18)+COLUMN(O18)&gt;$AC$1+5,"",IF(ABS($A18-O$32)+ABS($B18-O$33)&gt;$F$1,"",ABS($A18-O$32)+ABS($B18-O$33)))</f>
        <v>283</v>
      </c>
      <c r="P18" s="137">
        <f>IF(ROW(P18)+COLUMN(P18)&gt;$AC$1+5,"",IF(ABS($A18-P$32)+ABS($B18-P$33)&gt;$F$1,"",ABS($A18-P$32)+ABS($B18-P$33)))</f>
        <v>304</v>
      </c>
      <c r="Q18" s="139">
        <f>IF(ROW(Q18)+COLUMN(Q18)&gt;$AC$1+5,"",IF(ABS($A18-Q$32)+ABS($B18-Q$33)&gt;$F$1,"",ABS($A18-Q$32)+ABS($B18-Q$33)))</f>
      </c>
      <c r="R18" s="139">
        <f>IF(ROW(R18)+COLUMN(R18)&gt;$AC$1+5,"",IF(ABS($A18-R$32)+ABS($B18-R$33)&gt;$F$1,"",ABS($A18-R$32)+ABS($B18-R$33)))</f>
      </c>
      <c r="S18" s="139">
        <f>IF(ROW(S18)+COLUMN(S18)&gt;$AC$1+5,"",IF(ABS($A18-S$32)+ABS($B18-S$33)&gt;$F$1,"",ABS($A18-S$32)+ABS($B18-S$33)))</f>
      </c>
      <c r="T18" s="139">
        <f>IF(ROW(T18)+COLUMN(T18)&gt;$AC$1+5,"",IF(ABS($A18-T$32)+ABS($B18-T$33)&gt;$F$1,"",ABS($A18-T$32)+ABS($B18-T$33)))</f>
      </c>
      <c r="U18" s="136">
        <f>IF(ROW(U18)+COLUMN(U18)&gt;$AC$1+5,"",IF(ABS($A18-U$32)+ABS($B18-U$33)&gt;$F$1,"",ABS($A18-U$32)+ABS($B18-U$33)))</f>
      </c>
      <c r="V18" s="136">
        <f>IF(ROW(V18)+COLUMN(V18)&gt;$AC$1+5,"",IF(ABS($A18-V$32)+ABS($B18-V$33)&gt;$F$1,"",ABS($A18-V$32)+ABS($B18-V$33)))</f>
      </c>
      <c r="W18" s="136">
        <f>IF(ROW(W18)+COLUMN(W18)&gt;$AC$1+5,"",IF(ABS($A18-W$32)+ABS($B18-W$33)&gt;$F$1,"",ABS($A18-W$32)+ABS($B18-W$33)))</f>
      </c>
      <c r="X18" s="136">
        <f>IF(ROW(X18)+COLUMN(X18)&gt;$AC$1+5,"",IF(ABS($A18-X$32)+ABS($B18-X$33)&gt;$F$1,"",ABS($A18-X$32)+ABS($B18-X$33)))</f>
      </c>
      <c r="Y18" s="136">
        <f>IF(ROW(Y18)+COLUMN(Y18)&gt;$AC$1+5,"",IF(ABS($A18-Y$32)+ABS($B18-Y$33)&gt;$F$1,"",ABS($A18-Y$32)+ABS($B18-Y$33)))</f>
      </c>
      <c r="Z18" s="136">
        <f>IF(ROW(Z18)+COLUMN(Z18)&gt;$AC$1+5,"",IF(ABS($A18-Z$32)+ABS($B18-Z$33)&gt;$F$1,"",ABS($A18-Z$32)+ABS($B18-Z$33)))</f>
      </c>
      <c r="AA18" s="136">
        <f>IF(ROW(AA18)+COLUMN(AA18)&gt;$AC$1+5,"",IF(ABS($A18-AA$32)+ABS($B18-AA$33)&gt;$F$1,"",ABS($A18-AA$32)+ABS($B18-AA$33)))</f>
      </c>
      <c r="AB18" s="136">
        <f>IF(ROW(AB18)+COLUMN(AB18)&gt;$AC$1+5,"",IF(ABS($A18-AB$32)+ABS($B18-AB$33)&gt;$F$1,"",ABS($A18-AB$32)+ABS($B18-AB$33)))</f>
      </c>
      <c r="AC18" s="136">
        <f>IF(ROW(AC18)+COLUMN(AC18)&gt;$AC$1+5,"",IF(ABS($A18-AC$32)+ABS($B18-AC$33)&gt;$F$1,"",ABS($A18-AC$32)+ABS($B18-AC$33)))</f>
      </c>
      <c r="AD18" s="136">
        <f>IF(ROW(AD18)+COLUMN(AD18)&gt;$AC$1+5,"",IF(ABS($A18-AD$32)+ABS($B18-AD$33)&gt;$F$1,"",ABS($A18-AD$32)+ABS($B18-AD$33)))</f>
      </c>
      <c r="AE18" s="136">
        <f>IF(ROW(AE18)+COLUMN(AE18)&gt;$AC$1+5,"",IF(ABS($A18-AE$32)+ABS($B18-AE$33)&gt;$F$1,"",ABS($A18-AE$32)+ABS($B18-AE$33)))</f>
      </c>
    </row>
    <row r="19" spans="1:31" ht="12">
      <c r="A19" s="134">
        <f>'Busking Places'!C19</f>
        <v>545932</v>
      </c>
      <c r="B19" s="135">
        <f>'Busking Places'!D19</f>
        <v>257874</v>
      </c>
      <c r="C19" s="138" t="str">
        <f>'Busking Places'!B19</f>
        <v>Covent Garden</v>
      </c>
      <c r="D19" s="137">
        <f>IF(ROW(D19)+COLUMN(D19)&gt;$AC$1+5,"",IF(ABS($A19-D$32)+ABS($B19-D$33)&gt;$F$1,"",ABS($A19-D$32)+ABS($B19-D$33)))</f>
      </c>
      <c r="E19" s="137">
        <f>IF(ROW(E19)+COLUMN(E19)&gt;$AC$1+5,"",IF(ABS($A19-E$32)+ABS($B19-E$33)&gt;$F$1,"",ABS($A19-E$32)+ABS($B19-E$33)))</f>
      </c>
      <c r="F19" s="137">
        <f>IF(ROW(F19)+COLUMN(F19)&gt;$AC$1+5,"",IF(ABS($A19-F$32)+ABS($B19-F$33)&gt;$F$1,"",ABS($A19-F$32)+ABS($B19-F$33)))</f>
      </c>
      <c r="G19" s="137">
        <f>IF(ROW(G19)+COLUMN(G19)&gt;$AC$1+5,"",IF(ABS($A19-G$32)+ABS($B19-G$33)&gt;$F$1,"",ABS($A19-G$32)+ABS($B19-G$33)))</f>
      </c>
      <c r="H19" s="137">
        <f>IF(ROW(H19)+COLUMN(H19)&gt;$AC$1+5,"",IF(ABS($A19-H$32)+ABS($B19-H$33)&gt;$F$1,"",ABS($A19-H$32)+ABS($B19-H$33)))</f>
      </c>
      <c r="I19" s="137">
        <f>IF(ROW(I19)+COLUMN(I19)&gt;$AC$1+5,"",IF(ABS($A19-I$32)+ABS($B19-I$33)&gt;$F$1,"",ABS($A19-I$32)+ABS($B19-I$33)))</f>
      </c>
      <c r="J19" s="137">
        <f>IF(ROW(J19)+COLUMN(J19)&gt;$AC$1+5,"",IF(ABS($A19-J$32)+ABS($B19-J$33)&gt;$F$1,"",ABS($A19-J$32)+ABS($B19-J$33)))</f>
      </c>
      <c r="K19" s="137">
        <f>IF(ROW(K19)+COLUMN(K19)&gt;$AC$1+5,"",IF(ABS($A19-K$32)+ABS($B19-K$33)&gt;$F$1,"",ABS($A19-K$32)+ABS($B19-K$33)))</f>
      </c>
      <c r="L19" s="137">
        <f>IF(ROW(L19)+COLUMN(L19)&gt;$AC$1+5,"",IF(ABS($A19-L$32)+ABS($B19-L$33)&gt;$F$1,"",ABS($A19-L$32)+ABS($B19-L$33)))</f>
      </c>
      <c r="M19" s="137">
        <f>IF(ROW(M19)+COLUMN(M19)&gt;$AC$1+5,"",IF(ABS($A19-M$32)+ABS($B19-M$33)&gt;$F$1,"",ABS($A19-M$32)+ABS($B19-M$33)))</f>
        <v>418</v>
      </c>
      <c r="N19" s="137">
        <f>IF(ROW(N19)+COLUMN(N19)&gt;$AC$1+5,"",IF(ABS($A19-N$32)+ABS($B19-N$33)&gt;$F$1,"",ABS($A19-N$32)+ABS($B19-N$33)))</f>
        <v>347</v>
      </c>
      <c r="O19" s="137">
        <f>IF(ROW(O19)+COLUMN(O19)&gt;$AC$1+5,"",IF(ABS($A19-O$32)+ABS($B19-O$33)&gt;$F$1,"",ABS($A19-O$32)+ABS($B19-O$33)))</f>
        <v>147</v>
      </c>
      <c r="P19" s="139">
        <f>IF(ROW(P19)+COLUMN(P19)&gt;$AC$1+5,"",IF(ABS($A19-P$32)+ABS($B19-P$33)&gt;$F$1,"",ABS($A19-P$32)+ABS($B19-P$33)))</f>
      </c>
      <c r="Q19" s="139">
        <f>IF(ROW(Q19)+COLUMN(Q19)&gt;$AC$1+5,"",IF(ABS($A19-Q$32)+ABS($B19-Q$33)&gt;$F$1,"",ABS($A19-Q$32)+ABS($B19-Q$33)))</f>
      </c>
      <c r="R19" s="139">
        <f>IF(ROW(R19)+COLUMN(R19)&gt;$AC$1+5,"",IF(ABS($A19-R$32)+ABS($B19-R$33)&gt;$F$1,"",ABS($A19-R$32)+ABS($B19-R$33)))</f>
      </c>
      <c r="S19" s="139">
        <f>IF(ROW(S19)+COLUMN(S19)&gt;$AC$1+5,"",IF(ABS($A19-S$32)+ABS($B19-S$33)&gt;$F$1,"",ABS($A19-S$32)+ABS($B19-S$33)))</f>
      </c>
      <c r="T19" s="139">
        <f>IF(ROW(T19)+COLUMN(T19)&gt;$AC$1+5,"",IF(ABS($A19-T$32)+ABS($B19-T$33)&gt;$F$1,"",ABS($A19-T$32)+ABS($B19-T$33)))</f>
      </c>
      <c r="U19" s="136">
        <f>IF(ROW(U19)+COLUMN(U19)&gt;$AC$1+5,"",IF(ABS($A19-U$32)+ABS($B19-U$33)&gt;$F$1,"",ABS($A19-U$32)+ABS($B19-U$33)))</f>
      </c>
      <c r="V19" s="136">
        <f>IF(ROW(V19)+COLUMN(V19)&gt;$AC$1+5,"",IF(ABS($A19-V$32)+ABS($B19-V$33)&gt;$F$1,"",ABS($A19-V$32)+ABS($B19-V$33)))</f>
      </c>
      <c r="W19" s="136">
        <f>IF(ROW(W19)+COLUMN(W19)&gt;$AC$1+5,"",IF(ABS($A19-W$32)+ABS($B19-W$33)&gt;$F$1,"",ABS($A19-W$32)+ABS($B19-W$33)))</f>
      </c>
      <c r="X19" s="136">
        <f>IF(ROW(X19)+COLUMN(X19)&gt;$AC$1+5,"",IF(ABS($A19-X$32)+ABS($B19-X$33)&gt;$F$1,"",ABS($A19-X$32)+ABS($B19-X$33)))</f>
      </c>
      <c r="Y19" s="136">
        <f>IF(ROW(Y19)+COLUMN(Y19)&gt;$AC$1+5,"",IF(ABS($A19-Y$32)+ABS($B19-Y$33)&gt;$F$1,"",ABS($A19-Y$32)+ABS($B19-Y$33)))</f>
      </c>
      <c r="Z19" s="136">
        <f>IF(ROW(Z19)+COLUMN(Z19)&gt;$AC$1+5,"",IF(ABS($A19-Z$32)+ABS($B19-Z$33)&gt;$F$1,"",ABS($A19-Z$32)+ABS($B19-Z$33)))</f>
      </c>
      <c r="AA19" s="136">
        <f>IF(ROW(AA19)+COLUMN(AA19)&gt;$AC$1+5,"",IF(ABS($A19-AA$32)+ABS($B19-AA$33)&gt;$F$1,"",ABS($A19-AA$32)+ABS($B19-AA$33)))</f>
      </c>
      <c r="AB19" s="136">
        <f>IF(ROW(AB19)+COLUMN(AB19)&gt;$AC$1+5,"",IF(ABS($A19-AB$32)+ABS($B19-AB$33)&gt;$F$1,"",ABS($A19-AB$32)+ABS($B19-AB$33)))</f>
      </c>
      <c r="AC19" s="136">
        <f>IF(ROW(AC19)+COLUMN(AC19)&gt;$AC$1+5,"",IF(ABS($A19-AC$32)+ABS($B19-AC$33)&gt;$F$1,"",ABS($A19-AC$32)+ABS($B19-AC$33)))</f>
      </c>
      <c r="AD19" s="136">
        <f>IF(ROW(AD19)+COLUMN(AD19)&gt;$AC$1+5,"",IF(ABS($A19-AD$32)+ABS($B19-AD$33)&gt;$F$1,"",ABS($A19-AD$32)+ABS($B19-AD$33)))</f>
      </c>
      <c r="AE19" s="136">
        <f>IF(ROW(AE19)+COLUMN(AE19)&gt;$AC$1+5,"",IF(ABS($A19-AE$32)+ABS($B19-AE$33)&gt;$F$1,"",ABS($A19-AE$32)+ABS($B19-AE$33)))</f>
      </c>
    </row>
    <row r="20" spans="1:31" ht="12">
      <c r="A20" s="134">
        <f>'Busking Places'!C20</f>
        <v>546016</v>
      </c>
      <c r="B20" s="135">
        <f>'Busking Places'!D20</f>
        <v>257811</v>
      </c>
      <c r="C20" s="9" t="str">
        <f>'Busking Places'!B20</f>
        <v>Mawson Road</v>
      </c>
      <c r="D20" s="136">
        <f>IF(ROW(D20)+COLUMN(D20)&gt;$AC$1+5,"",IF(ABS($A20-D$32)+ABS($B20-D$33)&gt;$F$1,"",ABS($A20-D$32)+ABS($B20-D$33)))</f>
      </c>
      <c r="E20" s="136">
        <f>IF(ROW(E20)+COLUMN(E20)&gt;$AC$1+5,"",IF(ABS($A20-E$32)+ABS($B20-E$33)&gt;$F$1,"",ABS($A20-E$32)+ABS($B20-E$33)))</f>
      </c>
      <c r="F20" s="136">
        <f>IF(ROW(F20)+COLUMN(F20)&gt;$AC$1+5,"",IF(ABS($A20-F$32)+ABS($B20-F$33)&gt;$F$1,"",ABS($A20-F$32)+ABS($B20-F$33)))</f>
      </c>
      <c r="G20" s="136">
        <f>IF(ROW(G20)+COLUMN(G20)&gt;$AC$1+5,"",IF(ABS($A20-G$32)+ABS($B20-G$33)&gt;$F$1,"",ABS($A20-G$32)+ABS($B20-G$33)))</f>
      </c>
      <c r="H20" s="137">
        <f>IF(ROW(H20)+COLUMN(H20)&gt;$AC$1+5,"",IF(ABS($A20-H$32)+ABS($B20-H$33)&gt;$F$1,"",ABS($A20-H$32)+ABS($B20-H$33)))</f>
      </c>
      <c r="I20" s="136">
        <f>IF(ROW(I20)+COLUMN(I20)&gt;$AC$1+5,"",IF(ABS($A20-I$32)+ABS($B20-I$33)&gt;$F$1,"",ABS($A20-I$32)+ABS($B20-I$33)))</f>
      </c>
      <c r="J20" s="136">
        <f>IF(ROW(J20)+COLUMN(J20)&gt;$AC$1+5,"",IF(ABS($A20-J$32)+ABS($B20-J$33)&gt;$F$1,"",ABS($A20-J$32)+ABS($B20-J$33)))</f>
      </c>
      <c r="K20" s="136">
        <f>IF(ROW(K20)+COLUMN(K20)&gt;$AC$1+5,"",IF(ABS($A20-K$32)+ABS($B20-K$33)&gt;$F$1,"",ABS($A20-K$32)+ABS($B20-K$33)))</f>
      </c>
      <c r="L20" s="137">
        <f>IF(ROW(L20)+COLUMN(L20)&gt;$AC$1+5,"",IF(ABS($A20-L$32)+ABS($B20-L$33)&gt;$F$1,"",ABS($A20-L$32)+ABS($B20-L$33)))</f>
      </c>
      <c r="M20" s="139">
        <f>IF(ROW(M20)+COLUMN(M20)&gt;$AC$1+5,"",IF(ABS($A20-M$32)+ABS($B20-M$33)&gt;$F$1,"",ABS($A20-M$32)+ABS($B20-M$33)))</f>
        <v>565</v>
      </c>
      <c r="N20" s="139">
        <f>IF(ROW(N20)+COLUMN(N20)&gt;$AC$1+5,"",IF(ABS($A20-N$32)+ABS($B20-N$33)&gt;$F$1,"",ABS($A20-N$32)+ABS($B20-N$33)))</f>
        <v>494</v>
      </c>
      <c r="O20" s="139">
        <f>IF(ROW(O20)+COLUMN(O20)&gt;$AC$1+5,"",IF(ABS($A20-O$32)+ABS($B20-O$33)&gt;$F$1,"",ABS($A20-O$32)+ABS($B20-O$33)))</f>
      </c>
      <c r="P20" s="139">
        <f>IF(ROW(P20)+COLUMN(P20)&gt;$AC$1+5,"",IF(ABS($A20-P$32)+ABS($B20-P$33)&gt;$F$1,"",ABS($A20-P$32)+ABS($B20-P$33)))</f>
      </c>
      <c r="Q20" s="136">
        <f>IF(ROW(Q20)+COLUMN(Q20)&gt;$AC$1+5,"",IF(ABS($A20-Q$32)+ABS($B20-Q$33)&gt;$F$1,"",ABS($A20-Q$32)+ABS($B20-Q$33)))</f>
      </c>
      <c r="R20" s="136">
        <f>IF(ROW(R20)+COLUMN(R20)&gt;$AC$1+5,"",IF(ABS($A20-R$32)+ABS($B20-R$33)&gt;$F$1,"",ABS($A20-R$32)+ABS($B20-R$33)))</f>
      </c>
      <c r="S20" s="136">
        <f>IF(ROW(S20)+COLUMN(S20)&gt;$AC$1+5,"",IF(ABS($A20-S$32)+ABS($B20-S$33)&gt;$F$1,"",ABS($A20-S$32)+ABS($B20-S$33)))</f>
      </c>
      <c r="T20" s="136">
        <f>IF(ROW(T20)+COLUMN(T20)&gt;$AC$1+5,"",IF(ABS($A20-T$32)+ABS($B20-T$33)&gt;$F$1,"",ABS($A20-T$32)+ABS($B20-T$33)))</f>
      </c>
      <c r="U20" s="136">
        <f>IF(ROW(U20)+COLUMN(U20)&gt;$AC$1+5,"",IF(ABS($A20-U$32)+ABS($B20-U$33)&gt;$F$1,"",ABS($A20-U$32)+ABS($B20-U$33)))</f>
      </c>
      <c r="V20" s="136">
        <f>IF(ROW(V20)+COLUMN(V20)&gt;$AC$1+5,"",IF(ABS($A20-V$32)+ABS($B20-V$33)&gt;$F$1,"",ABS($A20-V$32)+ABS($B20-V$33)))</f>
      </c>
      <c r="W20" s="136">
        <f>IF(ROW(W20)+COLUMN(W20)&gt;$AC$1+5,"",IF(ABS($A20-W$32)+ABS($B20-W$33)&gt;$F$1,"",ABS($A20-W$32)+ABS($B20-W$33)))</f>
      </c>
      <c r="X20" s="136">
        <f>IF(ROW(X20)+COLUMN(X20)&gt;$AC$1+5,"",IF(ABS($A20-X$32)+ABS($B20-X$33)&gt;$F$1,"",ABS($A20-X$32)+ABS($B20-X$33)))</f>
      </c>
      <c r="Y20" s="136">
        <f>IF(ROW(Y20)+COLUMN(Y20)&gt;$AC$1+5,"",IF(ABS($A20-Y$32)+ABS($B20-Y$33)&gt;$F$1,"",ABS($A20-Y$32)+ABS($B20-Y$33)))</f>
      </c>
      <c r="Z20" s="136">
        <f>IF(ROW(Z20)+COLUMN(Z20)&gt;$AC$1+5,"",IF(ABS($A20-Z$32)+ABS($B20-Z$33)&gt;$F$1,"",ABS($A20-Z$32)+ABS($B20-Z$33)))</f>
      </c>
      <c r="AA20" s="136">
        <f>IF(ROW(AA20)+COLUMN(AA20)&gt;$AC$1+5,"",IF(ABS($A20-AA$32)+ABS($B20-AA$33)&gt;$F$1,"",ABS($A20-AA$32)+ABS($B20-AA$33)))</f>
      </c>
      <c r="AB20" s="136">
        <f>IF(ROW(AB20)+COLUMN(AB20)&gt;$AC$1+5,"",IF(ABS($A20-AB$32)+ABS($B20-AB$33)&gt;$F$1,"",ABS($A20-AB$32)+ABS($B20-AB$33)))</f>
      </c>
      <c r="AC20" s="136">
        <f>IF(ROW(AC20)+COLUMN(AC20)&gt;$AC$1+5,"",IF(ABS($A20-AC$32)+ABS($B20-AC$33)&gt;$F$1,"",ABS($A20-AC$32)+ABS($B20-AC$33)))</f>
      </c>
      <c r="AD20" s="136">
        <f>IF(ROW(AD20)+COLUMN(AD20)&gt;$AC$1+5,"",IF(ABS($A20-AD$32)+ABS($B20-AD$33)&gt;$F$1,"",ABS($A20-AD$32)+ABS($B20-AD$33)))</f>
      </c>
      <c r="AE20" s="136">
        <f>IF(ROW(AE20)+COLUMN(AE20)&gt;$AC$1+5,"",IF(ABS($A20-AE$32)+ABS($B20-AE$33)&gt;$F$1,"",ABS($A20-AE$32)+ABS($B20-AE$33)))</f>
      </c>
    </row>
    <row r="21" spans="1:31" ht="12">
      <c r="A21" s="134">
        <f>'Busking Places'!C21</f>
        <v>545621</v>
      </c>
      <c r="B21" s="135">
        <f>'Busking Places'!D21</f>
        <v>257910</v>
      </c>
      <c r="C21" s="9" t="str">
        <f>'Busking Places'!B21</f>
        <v>Gresham Road</v>
      </c>
      <c r="D21" s="136">
        <f>IF(ROW(D21)+COLUMN(D21)&gt;$AC$1+5,"",IF(ABS($A21-D$32)+ABS($B21-D$33)&gt;$F$1,"",ABS($A21-D$32)+ABS($B21-D$33)))</f>
      </c>
      <c r="E21" s="136">
        <f>IF(ROW(E21)+COLUMN(E21)&gt;$AC$1+5,"",IF(ABS($A21-E$32)+ABS($B21-E$33)&gt;$F$1,"",ABS($A21-E$32)+ABS($B21-E$33)))</f>
      </c>
      <c r="F21" s="136">
        <f>IF(ROW(F21)+COLUMN(F21)&gt;$AC$1+5,"",IF(ABS($A21-F$32)+ABS($B21-F$33)&gt;$F$1,"",ABS($A21-F$32)+ABS($B21-F$33)))</f>
      </c>
      <c r="G21" s="136">
        <f>IF(ROW(G21)+COLUMN(G21)&gt;$AC$1+5,"",IF(ABS($A21-G$32)+ABS($B21-G$33)&gt;$F$1,"",ABS($A21-G$32)+ABS($B21-G$33)))</f>
      </c>
      <c r="H21" s="137">
        <f>IF(ROW(H21)+COLUMN(H21)&gt;$AC$1+5,"",IF(ABS($A21-H$32)+ABS($B21-H$33)&gt;$F$1,"",ABS($A21-H$32)+ABS($B21-H$33)))</f>
      </c>
      <c r="I21" s="136">
        <f>IF(ROW(I21)+COLUMN(I21)&gt;$AC$1+5,"",IF(ABS($A21-I$32)+ABS($B21-I$33)&gt;$F$1,"",ABS($A21-I$32)+ABS($B21-I$33)))</f>
      </c>
      <c r="J21" s="136">
        <f>IF(ROW(J21)+COLUMN(J21)&gt;$AC$1+5,"",IF(ABS($A21-J$32)+ABS($B21-J$33)&gt;$F$1,"",ABS($A21-J$32)+ABS($B21-J$33)))</f>
      </c>
      <c r="K21" s="136">
        <f>IF(ROW(K21)+COLUMN(K21)&gt;$AC$1+5,"",IF(ABS($A21-K$32)+ABS($B21-K$33)&gt;$F$1,"",ABS($A21-K$32)+ABS($B21-K$33)))</f>
      </c>
      <c r="L21" s="137">
        <f>IF(ROW(L21)+COLUMN(L21)&gt;$AC$1+5,"",IF(ABS($A21-L$32)+ABS($B21-L$33)&gt;$F$1,"",ABS($A21-L$32)+ABS($B21-L$33)))</f>
        <v>465</v>
      </c>
      <c r="M21" s="139">
        <f>IF(ROW(M21)+COLUMN(M21)&gt;$AC$1+5,"",IF(ABS($A21-M$32)+ABS($B21-M$33)&gt;$F$1,"",ABS($A21-M$32)+ABS($B21-M$33)))</f>
        <v>117</v>
      </c>
      <c r="N21" s="139">
        <f>IF(ROW(N21)+COLUMN(N21)&gt;$AC$1+5,"",IF(ABS($A21-N$32)+ABS($B21-N$33)&gt;$F$1,"",ABS($A21-N$32)+ABS($B21-N$33)))</f>
      </c>
      <c r="O21" s="139">
        <f>IF(ROW(O21)+COLUMN(O21)&gt;$AC$1+5,"",IF(ABS($A21-O$32)+ABS($B21-O$33)&gt;$F$1,"",ABS($A21-O$32)+ABS($B21-O$33)))</f>
      </c>
      <c r="P21" s="139">
        <f>IF(ROW(P21)+COLUMN(P21)&gt;$AC$1+5,"",IF(ABS($A21-P$32)+ABS($B21-P$33)&gt;$F$1,"",ABS($A21-P$32)+ABS($B21-P$33)))</f>
      </c>
      <c r="Q21" s="136">
        <f>IF(ROW(Q21)+COLUMN(Q21)&gt;$AC$1+5,"",IF(ABS($A21-Q$32)+ABS($B21-Q$33)&gt;$F$1,"",ABS($A21-Q$32)+ABS($B21-Q$33)))</f>
      </c>
      <c r="R21" s="136">
        <f>IF(ROW(R21)+COLUMN(R21)&gt;$AC$1+5,"",IF(ABS($A21-R$32)+ABS($B21-R$33)&gt;$F$1,"",ABS($A21-R$32)+ABS($B21-R$33)))</f>
      </c>
      <c r="S21" s="136">
        <f>IF(ROW(S21)+COLUMN(S21)&gt;$AC$1+5,"",IF(ABS($A21-S$32)+ABS($B21-S$33)&gt;$F$1,"",ABS($A21-S$32)+ABS($B21-S$33)))</f>
      </c>
      <c r="T21" s="136">
        <f>IF(ROW(T21)+COLUMN(T21)&gt;$AC$1+5,"",IF(ABS($A21-T$32)+ABS($B21-T$33)&gt;$F$1,"",ABS($A21-T$32)+ABS($B21-T$33)))</f>
      </c>
      <c r="U21" s="136">
        <f>IF(ROW(U21)+COLUMN(U21)&gt;$AC$1+5,"",IF(ABS($A21-U$32)+ABS($B21-U$33)&gt;$F$1,"",ABS($A21-U$32)+ABS($B21-U$33)))</f>
      </c>
      <c r="V21" s="136">
        <f>IF(ROW(V21)+COLUMN(V21)&gt;$AC$1+5,"",IF(ABS($A21-V$32)+ABS($B21-V$33)&gt;$F$1,"",ABS($A21-V$32)+ABS($B21-V$33)))</f>
      </c>
      <c r="W21" s="136">
        <f>IF(ROW(W21)+COLUMN(W21)&gt;$AC$1+5,"",IF(ABS($A21-W$32)+ABS($B21-W$33)&gt;$F$1,"",ABS($A21-W$32)+ABS($B21-W$33)))</f>
      </c>
      <c r="X21" s="136">
        <f>IF(ROW(X21)+COLUMN(X21)&gt;$AC$1+5,"",IF(ABS($A21-X$32)+ABS($B21-X$33)&gt;$F$1,"",ABS($A21-X$32)+ABS($B21-X$33)))</f>
      </c>
      <c r="Y21" s="136">
        <f>IF(ROW(Y21)+COLUMN(Y21)&gt;$AC$1+5,"",IF(ABS($A21-Y$32)+ABS($B21-Y$33)&gt;$F$1,"",ABS($A21-Y$32)+ABS($B21-Y$33)))</f>
      </c>
      <c r="Z21" s="136">
        <f>IF(ROW(Z21)+COLUMN(Z21)&gt;$AC$1+5,"",IF(ABS($A21-Z$32)+ABS($B21-Z$33)&gt;$F$1,"",ABS($A21-Z$32)+ABS($B21-Z$33)))</f>
      </c>
      <c r="AA21" s="136">
        <f>IF(ROW(AA21)+COLUMN(AA21)&gt;$AC$1+5,"",IF(ABS($A21-AA$32)+ABS($B21-AA$33)&gt;$F$1,"",ABS($A21-AA$32)+ABS($B21-AA$33)))</f>
      </c>
      <c r="AB21" s="136">
        <f>IF(ROW(AB21)+COLUMN(AB21)&gt;$AC$1+5,"",IF(ABS($A21-AB$32)+ABS($B21-AB$33)&gt;$F$1,"",ABS($A21-AB$32)+ABS($B21-AB$33)))</f>
      </c>
      <c r="AC21" s="136">
        <f>IF(ROW(AC21)+COLUMN(AC21)&gt;$AC$1+5,"",IF(ABS($A21-AC$32)+ABS($B21-AC$33)&gt;$F$1,"",ABS($A21-AC$32)+ABS($B21-AC$33)))</f>
      </c>
      <c r="AD21" s="136">
        <f>IF(ROW(AD21)+COLUMN(AD21)&gt;$AC$1+5,"",IF(ABS($A21-AD$32)+ABS($B21-AD$33)&gt;$F$1,"",ABS($A21-AD$32)+ABS($B21-AD$33)))</f>
      </c>
      <c r="AE21" s="136">
        <f>IF(ROW(AE21)+COLUMN(AE21)&gt;$AC$1+5,"",IF(ABS($A21-AE$32)+ABS($B21-AE$33)&gt;$F$1,"",ABS($A21-AE$32)+ABS($B21-AE$33)))</f>
      </c>
    </row>
    <row r="22" spans="1:31" ht="12">
      <c r="A22" s="134">
        <f>'Busking Places'!C22</f>
        <v>545527</v>
      </c>
      <c r="B22" s="135">
        <f>'Busking Places'!D22</f>
        <v>257887</v>
      </c>
      <c r="C22" s="9" t="str">
        <f>'Busking Places'!B22</f>
        <v>Regent Terrace, S</v>
      </c>
      <c r="D22" s="136">
        <f>IF(ROW(D22)+COLUMN(D22)&gt;$AC$1+5,"",IF(ABS($A22-D$32)+ABS($B22-D$33)&gt;$F$1,"",ABS($A22-D$32)+ABS($B22-D$33)))</f>
      </c>
      <c r="E22" s="136">
        <f>IF(ROW(E22)+COLUMN(E22)&gt;$AC$1+5,"",IF(ABS($A22-E$32)+ABS($B22-E$33)&gt;$F$1,"",ABS($A22-E$32)+ABS($B22-E$33)))</f>
      </c>
      <c r="F22" s="136">
        <f>IF(ROW(F22)+COLUMN(F22)&gt;$AC$1+5,"",IF(ABS($A22-F$32)+ABS($B22-F$33)&gt;$F$1,"",ABS($A22-F$32)+ABS($B22-F$33)))</f>
      </c>
      <c r="G22" s="136">
        <f>IF(ROW(G22)+COLUMN(G22)&gt;$AC$1+5,"",IF(ABS($A22-G$32)+ABS($B22-G$33)&gt;$F$1,"",ABS($A22-G$32)+ABS($B22-G$33)))</f>
      </c>
      <c r="H22" s="137">
        <f>IF(ROW(H22)+COLUMN(H22)&gt;$AC$1+5,"",IF(ABS($A22-H$32)+ABS($B22-H$33)&gt;$F$1,"",ABS($A22-H$32)+ABS($B22-H$33)))</f>
      </c>
      <c r="I22" s="136">
        <f>IF(ROW(I22)+COLUMN(I22)&gt;$AC$1+5,"",IF(ABS($A22-I$32)+ABS($B22-I$33)&gt;$F$1,"",ABS($A22-I$32)+ABS($B22-I$33)))</f>
      </c>
      <c r="J22" s="136">
        <f>IF(ROW(J22)+COLUMN(J22)&gt;$AC$1+5,"",IF(ABS($A22-J$32)+ABS($B22-J$33)&gt;$F$1,"",ABS($A22-J$32)+ABS($B22-J$33)))</f>
      </c>
      <c r="K22" s="136">
        <f>IF(ROW(K22)+COLUMN(K22)&gt;$AC$1+5,"",IF(ABS($A22-K$32)+ABS($B22-K$33)&gt;$F$1,"",ABS($A22-K$32)+ABS($B22-K$33)))</f>
      </c>
      <c r="L22" s="137">
        <f>IF(ROW(L22)+COLUMN(L22)&gt;$AC$1+5,"",IF(ABS($A22-L$32)+ABS($B22-L$33)&gt;$F$1,"",ABS($A22-L$32)+ABS($B22-L$33)))</f>
        <v>394</v>
      </c>
      <c r="M22" s="139">
        <f>IF(ROW(M22)+COLUMN(M22)&gt;$AC$1+5,"",IF(ABS($A22-M$32)+ABS($B22-M$33)&gt;$F$1,"",ABS($A22-M$32)+ABS($B22-M$33)))</f>
      </c>
      <c r="N22" s="139">
        <f>IF(ROW(N22)+COLUMN(N22)&gt;$AC$1+5,"",IF(ABS($A22-N$32)+ABS($B22-N$33)&gt;$F$1,"",ABS($A22-N$32)+ABS($B22-N$33)))</f>
      </c>
      <c r="O22" s="139">
        <f>IF(ROW(O22)+COLUMN(O22)&gt;$AC$1+5,"",IF(ABS($A22-O$32)+ABS($B22-O$33)&gt;$F$1,"",ABS($A22-O$32)+ABS($B22-O$33)))</f>
      </c>
      <c r="P22" s="139">
        <f>IF(ROW(P22)+COLUMN(P22)&gt;$AC$1+5,"",IF(ABS($A22-P$32)+ABS($B22-P$33)&gt;$F$1,"",ABS($A22-P$32)+ABS($B22-P$33)))</f>
      </c>
      <c r="Q22" s="136">
        <f>IF(ROW(Q22)+COLUMN(Q22)&gt;$AC$1+5,"",IF(ABS($A22-Q$32)+ABS($B22-Q$33)&gt;$F$1,"",ABS($A22-Q$32)+ABS($B22-Q$33)))</f>
      </c>
      <c r="R22" s="136">
        <f>IF(ROW(R22)+COLUMN(R22)&gt;$AC$1+5,"",IF(ABS($A22-R$32)+ABS($B22-R$33)&gt;$F$1,"",ABS($A22-R$32)+ABS($B22-R$33)))</f>
      </c>
      <c r="S22" s="136">
        <f>IF(ROW(S22)+COLUMN(S22)&gt;$AC$1+5,"",IF(ABS($A22-S$32)+ABS($B22-S$33)&gt;$F$1,"",ABS($A22-S$32)+ABS($B22-S$33)))</f>
      </c>
      <c r="T22" s="136">
        <f>IF(ROW(T22)+COLUMN(T22)&gt;$AC$1+5,"",IF(ABS($A22-T$32)+ABS($B22-T$33)&gt;$F$1,"",ABS($A22-T$32)+ABS($B22-T$33)))</f>
      </c>
      <c r="U22" s="136">
        <f>IF(ROW(U22)+COLUMN(U22)&gt;$AC$1+5,"",IF(ABS($A22-U$32)+ABS($B22-U$33)&gt;$F$1,"",ABS($A22-U$32)+ABS($B22-U$33)))</f>
      </c>
      <c r="V22" s="136">
        <f>IF(ROW(V22)+COLUMN(V22)&gt;$AC$1+5,"",IF(ABS($A22-V$32)+ABS($B22-V$33)&gt;$F$1,"",ABS($A22-V$32)+ABS($B22-V$33)))</f>
      </c>
      <c r="W22" s="136">
        <f>IF(ROW(W22)+COLUMN(W22)&gt;$AC$1+5,"",IF(ABS($A22-W$32)+ABS($B22-W$33)&gt;$F$1,"",ABS($A22-W$32)+ABS($B22-W$33)))</f>
      </c>
      <c r="X22" s="136">
        <f>IF(ROW(X22)+COLUMN(X22)&gt;$AC$1+5,"",IF(ABS($A22-X$32)+ABS($B22-X$33)&gt;$F$1,"",ABS($A22-X$32)+ABS($B22-X$33)))</f>
      </c>
      <c r="Y22" s="136">
        <f>IF(ROW(Y22)+COLUMN(Y22)&gt;$AC$1+5,"",IF(ABS($A22-Y$32)+ABS($B22-Y$33)&gt;$F$1,"",ABS($A22-Y$32)+ABS($B22-Y$33)))</f>
      </c>
      <c r="Z22" s="136">
        <f>IF(ROW(Z22)+COLUMN(Z22)&gt;$AC$1+5,"",IF(ABS($A22-Z$32)+ABS($B22-Z$33)&gt;$F$1,"",ABS($A22-Z$32)+ABS($B22-Z$33)))</f>
      </c>
      <c r="AA22" s="136">
        <f>IF(ROW(AA22)+COLUMN(AA22)&gt;$AC$1+5,"",IF(ABS($A22-AA$32)+ABS($B22-AA$33)&gt;$F$1,"",ABS($A22-AA$32)+ABS($B22-AA$33)))</f>
      </c>
      <c r="AB22" s="136">
        <f>IF(ROW(AB22)+COLUMN(AB22)&gt;$AC$1+5,"",IF(ABS($A22-AB$32)+ABS($B22-AB$33)&gt;$F$1,"",ABS($A22-AB$32)+ABS($B22-AB$33)))</f>
      </c>
      <c r="AC22" s="136">
        <f>IF(ROW(AC22)+COLUMN(AC22)&gt;$AC$1+5,"",IF(ABS($A22-AC$32)+ABS($B22-AC$33)&gt;$F$1,"",ABS($A22-AC$32)+ABS($B22-AC$33)))</f>
      </c>
      <c r="AD22" s="136">
        <f>IF(ROW(AD22)+COLUMN(AD22)&gt;$AC$1+5,"",IF(ABS($A22-AD$32)+ABS($B22-AD$33)&gt;$F$1,"",ABS($A22-AD$32)+ABS($B22-AD$33)))</f>
      </c>
      <c r="AE22" s="136">
        <f>IF(ROW(AE22)+COLUMN(AE22)&gt;$AC$1+5,"",IF(ABS($A22-AE$32)+ABS($B22-AE$33)&gt;$F$1,"",ABS($A22-AE$32)+ABS($B22-AE$33)))</f>
      </c>
    </row>
    <row r="23" spans="1:31" ht="12">
      <c r="A23" s="134">
        <f>'Busking Places'!C23</f>
        <v>545342</v>
      </c>
      <c r="B23" s="135">
        <f>'Busking Places'!D23</f>
        <v>258096</v>
      </c>
      <c r="C23" s="138" t="str">
        <f>'Busking Places'!B23</f>
        <v>Regent Terrace, N</v>
      </c>
      <c r="D23" s="137">
        <f>IF(ROW(D23)+COLUMN(D23)&gt;$AC$1+5,"",IF(ABS($A23-D$32)+ABS($B23-D$33)&gt;$F$1,"",ABS($A23-D$32)+ABS($B23-D$33)))</f>
      </c>
      <c r="E23" s="137">
        <f>IF(ROW(E23)+COLUMN(E23)&gt;$AC$1+5,"",IF(ABS($A23-E$32)+ABS($B23-E$33)&gt;$F$1,"",ABS($A23-E$32)+ABS($B23-E$33)))</f>
        <v>721</v>
      </c>
      <c r="F23" s="137">
        <f>IF(ROW(F23)+COLUMN(F23)&gt;$AC$1+5,"",IF(ABS($A23-F$32)+ABS($B23-F$33)&gt;$F$1,"",ABS($A23-F$32)+ABS($B23-F$33)))</f>
      </c>
      <c r="G23" s="137">
        <f>IF(ROW(G23)+COLUMN(G23)&gt;$AC$1+5,"",IF(ABS($A23-G$32)+ABS($B23-G$33)&gt;$F$1,"",ABS($A23-G$32)+ABS($B23-G$33)))</f>
        <v>753</v>
      </c>
      <c r="H23" s="137">
        <f>IF(ROW(H23)+COLUMN(H23)&gt;$AC$1+5,"",IF(ABS($A23-H$32)+ABS($B23-H$33)&gt;$F$1,"",ABS($A23-H$32)+ABS($B23-H$33)))</f>
        <v>685</v>
      </c>
      <c r="I23" s="137">
        <f>IF(ROW(I23)+COLUMN(I23)&gt;$AC$1+5,"",IF(ABS($A23-I$32)+ABS($B23-I$33)&gt;$F$1,"",ABS($A23-I$32)+ABS($B23-I$33)))</f>
        <v>757</v>
      </c>
      <c r="J23" s="137">
        <f>IF(ROW(J23)+COLUMN(J23)&gt;$AC$1+5,"",IF(ABS($A23-J$32)+ABS($B23-J$33)&gt;$F$1,"",ABS($A23-J$32)+ABS($B23-J$33)))</f>
        <v>703</v>
      </c>
      <c r="K23" s="137">
        <f>IF(ROW(K23)+COLUMN(K23)&gt;$AC$1+5,"",IF(ABS($A23-K$32)+ABS($B23-K$33)&gt;$F$1,"",ABS($A23-K$32)+ABS($B23-K$33)))</f>
        <v>761</v>
      </c>
      <c r="L23" s="139">
        <f>IF(ROW(L23)+COLUMN(L23)&gt;$AC$1+5,"",IF(ABS($A23-L$32)+ABS($B23-L$33)&gt;$F$1,"",ABS($A23-L$32)+ABS($B23-L$33)))</f>
      </c>
      <c r="M23" s="139">
        <f>IF(ROW(M23)+COLUMN(M23)&gt;$AC$1+5,"",IF(ABS($A23-M$32)+ABS($B23-M$33)&gt;$F$1,"",ABS($A23-M$32)+ABS($B23-M$33)))</f>
      </c>
      <c r="N23" s="139">
        <f>IF(ROW(N23)+COLUMN(N23)&gt;$AC$1+5,"",IF(ABS($A23-N$32)+ABS($B23-N$33)&gt;$F$1,"",ABS($A23-N$32)+ABS($B23-N$33)))</f>
      </c>
      <c r="O23" s="139">
        <f>IF(ROW(O23)+COLUMN(O23)&gt;$AC$1+5,"",IF(ABS($A23-O$32)+ABS($B23-O$33)&gt;$F$1,"",ABS($A23-O$32)+ABS($B23-O$33)))</f>
      </c>
      <c r="P23" s="139">
        <f>IF(ROW(P23)+COLUMN(P23)&gt;$AC$1+5,"",IF(ABS($A23-P$32)+ABS($B23-P$33)&gt;$F$1,"",ABS($A23-P$32)+ABS($B23-P$33)))</f>
      </c>
      <c r="Q23" s="136">
        <f>IF(ROW(Q23)+COLUMN(Q23)&gt;$AC$1+5,"",IF(ABS($A23-Q$32)+ABS($B23-Q$33)&gt;$F$1,"",ABS($A23-Q$32)+ABS($B23-Q$33)))</f>
      </c>
      <c r="R23" s="136">
        <f>IF(ROW(R23)+COLUMN(R23)&gt;$AC$1+5,"",IF(ABS($A23-R$32)+ABS($B23-R$33)&gt;$F$1,"",ABS($A23-R$32)+ABS($B23-R$33)))</f>
      </c>
      <c r="S23" s="136">
        <f>IF(ROW(S23)+COLUMN(S23)&gt;$AC$1+5,"",IF(ABS($A23-S$32)+ABS($B23-S$33)&gt;$F$1,"",ABS($A23-S$32)+ABS($B23-S$33)))</f>
      </c>
      <c r="T23" s="136">
        <f>IF(ROW(T23)+COLUMN(T23)&gt;$AC$1+5,"",IF(ABS($A23-T$32)+ABS($B23-T$33)&gt;$F$1,"",ABS($A23-T$32)+ABS($B23-T$33)))</f>
      </c>
      <c r="U23" s="136">
        <f>IF(ROW(U23)+COLUMN(U23)&gt;$AC$1+5,"",IF(ABS($A23-U$32)+ABS($B23-U$33)&gt;$F$1,"",ABS($A23-U$32)+ABS($B23-U$33)))</f>
      </c>
      <c r="V23" s="136">
        <f>IF(ROW(V23)+COLUMN(V23)&gt;$AC$1+5,"",IF(ABS($A23-V$32)+ABS($B23-V$33)&gt;$F$1,"",ABS($A23-V$32)+ABS($B23-V$33)))</f>
      </c>
      <c r="W23" s="136">
        <f>IF(ROW(W23)+COLUMN(W23)&gt;$AC$1+5,"",IF(ABS($A23-W$32)+ABS($B23-W$33)&gt;$F$1,"",ABS($A23-W$32)+ABS($B23-W$33)))</f>
      </c>
      <c r="X23" s="136">
        <f>IF(ROW(X23)+COLUMN(X23)&gt;$AC$1+5,"",IF(ABS($A23-X$32)+ABS($B23-X$33)&gt;$F$1,"",ABS($A23-X$32)+ABS($B23-X$33)))</f>
      </c>
      <c r="Y23" s="136">
        <f>IF(ROW(Y23)+COLUMN(Y23)&gt;$AC$1+5,"",IF(ABS($A23-Y$32)+ABS($B23-Y$33)&gt;$F$1,"",ABS($A23-Y$32)+ABS($B23-Y$33)))</f>
      </c>
      <c r="Z23" s="136">
        <f>IF(ROW(Z23)+COLUMN(Z23)&gt;$AC$1+5,"",IF(ABS($A23-Z$32)+ABS($B23-Z$33)&gt;$F$1,"",ABS($A23-Z$32)+ABS($B23-Z$33)))</f>
      </c>
      <c r="AA23" s="136">
        <f>IF(ROW(AA23)+COLUMN(AA23)&gt;$AC$1+5,"",IF(ABS($A23-AA$32)+ABS($B23-AA$33)&gt;$F$1,"",ABS($A23-AA$32)+ABS($B23-AA$33)))</f>
      </c>
      <c r="AB23" s="136">
        <f>IF(ROW(AB23)+COLUMN(AB23)&gt;$AC$1+5,"",IF(ABS($A23-AB$32)+ABS($B23-AB$33)&gt;$F$1,"",ABS($A23-AB$32)+ABS($B23-AB$33)))</f>
      </c>
      <c r="AC23" s="136">
        <f>IF(ROW(AC23)+COLUMN(AC23)&gt;$AC$1+5,"",IF(ABS($A23-AC$32)+ABS($B23-AC$33)&gt;$F$1,"",ABS($A23-AC$32)+ABS($B23-AC$33)))</f>
      </c>
      <c r="AD23" s="136">
        <f>IF(ROW(AD23)+COLUMN(AD23)&gt;$AC$1+5,"",IF(ABS($A23-AD$32)+ABS($B23-AD$33)&gt;$F$1,"",ABS($A23-AD$32)+ABS($B23-AD$33)))</f>
      </c>
      <c r="AE23" s="136">
        <f>IF(ROW(AE23)+COLUMN(AE23)&gt;$AC$1+5,"",IF(ABS($A23-AE$32)+ABS($B23-AE$33)&gt;$F$1,"",ABS($A23-AE$32)+ABS($B23-AE$33)))</f>
      </c>
    </row>
    <row r="24" spans="1:31" ht="12">
      <c r="A24" s="134">
        <f>'Busking Places'!C24</f>
        <v>544683</v>
      </c>
      <c r="B24" s="135">
        <f>'Busking Places'!D24</f>
        <v>257994</v>
      </c>
      <c r="C24" s="9" t="str">
        <f>'Busking Places'!B24</f>
        <v>Laundress Green</v>
      </c>
      <c r="D24" s="136">
        <f>IF(ROW(D24)+COLUMN(D24)&gt;$AC$1+5,"",IF(ABS($A24-D$32)+ABS($B24-D$33)&gt;$F$1,"",ABS($A24-D$32)+ABS($B24-D$33)))</f>
      </c>
      <c r="E24" s="136">
        <f>IF(ROW(E24)+COLUMN(E24)&gt;$AC$1+5,"",IF(ABS($A24-E$32)+ABS($B24-E$33)&gt;$F$1,"",ABS($A24-E$32)+ABS($B24-E$33)))</f>
      </c>
      <c r="F24" s="136">
        <f>IF(ROW(F24)+COLUMN(F24)&gt;$AC$1+5,"",IF(ABS($A24-F$32)+ABS($B24-F$33)&gt;$F$1,"",ABS($A24-F$32)+ABS($B24-F$33)))</f>
        <v>607</v>
      </c>
      <c r="G24" s="136">
        <f>IF(ROW(G24)+COLUMN(G24)&gt;$AC$1+5,"",IF(ABS($A24-G$32)+ABS($B24-G$33)&gt;$F$1,"",ABS($A24-G$32)+ABS($B24-G$33)))</f>
        <v>596</v>
      </c>
      <c r="H24" s="137">
        <f>IF(ROW(H24)+COLUMN(H24)&gt;$AC$1+5,"",IF(ABS($A24-H$32)+ABS($B24-H$33)&gt;$F$1,"",ABS($A24-H$32)+ABS($B24-H$33)))</f>
        <v>660</v>
      </c>
      <c r="I24" s="139">
        <f>IF(ROW(I24)+COLUMN(I24)&gt;$AC$1+5,"",IF(ABS($A24-I$32)+ABS($B24-I$33)&gt;$F$1,"",ABS($A24-I$32)+ABS($B24-I$33)))</f>
        <v>664</v>
      </c>
      <c r="J24" s="139">
        <f>IF(ROW(J24)+COLUMN(J24)&gt;$AC$1+5,"",IF(ABS($A24-J$32)+ABS($B24-J$33)&gt;$F$1,"",ABS($A24-J$32)+ABS($B24-J$33)))</f>
        <v>84</v>
      </c>
      <c r="K24" s="139">
        <f>IF(ROW(K24)+COLUMN(K24)&gt;$AC$1+5,"",IF(ABS($A24-K$32)+ABS($B24-K$33)&gt;$F$1,"",ABS($A24-K$32)+ABS($B24-K$33)))</f>
      </c>
      <c r="L24" s="139">
        <f>IF(ROW(L24)+COLUMN(L24)&gt;$AC$1+5,"",IF(ABS($A24-L$32)+ABS($B24-L$33)&gt;$F$1,"",ABS($A24-L$32)+ABS($B24-L$33)))</f>
      </c>
      <c r="M24" s="136">
        <f>IF(ROW(M24)+COLUMN(M24)&gt;$AC$1+5,"",IF(ABS($A24-M$32)+ABS($B24-M$33)&gt;$F$1,"",ABS($A24-M$32)+ABS($B24-M$33)))</f>
      </c>
      <c r="N24" s="136">
        <f>IF(ROW(N24)+COLUMN(N24)&gt;$AC$1+5,"",IF(ABS($A24-N$32)+ABS($B24-N$33)&gt;$F$1,"",ABS($A24-N$32)+ABS($B24-N$33)))</f>
      </c>
      <c r="O24" s="136">
        <f>IF(ROW(O24)+COLUMN(O24)&gt;$AC$1+5,"",IF(ABS($A24-O$32)+ABS($B24-O$33)&gt;$F$1,"",ABS($A24-O$32)+ABS($B24-O$33)))</f>
      </c>
      <c r="P24" s="136">
        <f>IF(ROW(P24)+COLUMN(P24)&gt;$AC$1+5,"",IF(ABS($A24-P$32)+ABS($B24-P$33)&gt;$F$1,"",ABS($A24-P$32)+ABS($B24-P$33)))</f>
      </c>
      <c r="Q24" s="136">
        <f>IF(ROW(Q24)+COLUMN(Q24)&gt;$AC$1+5,"",IF(ABS($A24-Q$32)+ABS($B24-Q$33)&gt;$F$1,"",ABS($A24-Q$32)+ABS($B24-Q$33)))</f>
      </c>
      <c r="R24" s="136">
        <f>IF(ROW(R24)+COLUMN(R24)&gt;$AC$1+5,"",IF(ABS($A24-R$32)+ABS($B24-R$33)&gt;$F$1,"",ABS($A24-R$32)+ABS($B24-R$33)))</f>
      </c>
      <c r="S24" s="136">
        <f>IF(ROW(S24)+COLUMN(S24)&gt;$AC$1+5,"",IF(ABS($A24-S$32)+ABS($B24-S$33)&gt;$F$1,"",ABS($A24-S$32)+ABS($B24-S$33)))</f>
      </c>
      <c r="T24" s="136">
        <f>IF(ROW(T24)+COLUMN(T24)&gt;$AC$1+5,"",IF(ABS($A24-T$32)+ABS($B24-T$33)&gt;$F$1,"",ABS($A24-T$32)+ABS($B24-T$33)))</f>
      </c>
      <c r="U24" s="136">
        <f>IF(ROW(U24)+COLUMN(U24)&gt;$AC$1+5,"",IF(ABS($A24-U$32)+ABS($B24-U$33)&gt;$F$1,"",ABS($A24-U$32)+ABS($B24-U$33)))</f>
      </c>
      <c r="V24" s="136">
        <f>IF(ROW(V24)+COLUMN(V24)&gt;$AC$1+5,"",IF(ABS($A24-V$32)+ABS($B24-V$33)&gt;$F$1,"",ABS($A24-V$32)+ABS($B24-V$33)))</f>
      </c>
      <c r="W24" s="136">
        <f>IF(ROW(W24)+COLUMN(W24)&gt;$AC$1+5,"",IF(ABS($A24-W$32)+ABS($B24-W$33)&gt;$F$1,"",ABS($A24-W$32)+ABS($B24-W$33)))</f>
      </c>
      <c r="X24" s="136">
        <f>IF(ROW(X24)+COLUMN(X24)&gt;$AC$1+5,"",IF(ABS($A24-X$32)+ABS($B24-X$33)&gt;$F$1,"",ABS($A24-X$32)+ABS($B24-X$33)))</f>
      </c>
      <c r="Y24" s="136">
        <f>IF(ROW(Y24)+COLUMN(Y24)&gt;$AC$1+5,"",IF(ABS($A24-Y$32)+ABS($B24-Y$33)&gt;$F$1,"",ABS($A24-Y$32)+ABS($B24-Y$33)))</f>
      </c>
      <c r="Z24" s="136">
        <f>IF(ROW(Z24)+COLUMN(Z24)&gt;$AC$1+5,"",IF(ABS($A24-Z$32)+ABS($B24-Z$33)&gt;$F$1,"",ABS($A24-Z$32)+ABS($B24-Z$33)))</f>
      </c>
      <c r="AA24" s="136">
        <f>IF(ROW(AA24)+COLUMN(AA24)&gt;$AC$1+5,"",IF(ABS($A24-AA$32)+ABS($B24-AA$33)&gt;$F$1,"",ABS($A24-AA$32)+ABS($B24-AA$33)))</f>
      </c>
      <c r="AB24" s="136">
        <f>IF(ROW(AB24)+COLUMN(AB24)&gt;$AC$1+5,"",IF(ABS($A24-AB$32)+ABS($B24-AB$33)&gt;$F$1,"",ABS($A24-AB$32)+ABS($B24-AB$33)))</f>
      </c>
      <c r="AC24" s="136">
        <f>IF(ROW(AC24)+COLUMN(AC24)&gt;$AC$1+5,"",IF(ABS($A24-AC$32)+ABS($B24-AC$33)&gt;$F$1,"",ABS($A24-AC$32)+ABS($B24-AC$33)))</f>
      </c>
      <c r="AD24" s="136">
        <f>IF(ROW(AD24)+COLUMN(AD24)&gt;$AC$1+5,"",IF(ABS($A24-AD$32)+ABS($B24-AD$33)&gt;$F$1,"",ABS($A24-AD$32)+ABS($B24-AD$33)))</f>
      </c>
      <c r="AE24" s="136">
        <f>IF(ROW(AE24)+COLUMN(AE24)&gt;$AC$1+5,"",IF(ABS($A24-AE$32)+ABS($B24-AE$33)&gt;$F$1,"",ABS($A24-AE$32)+ABS($B24-AE$33)))</f>
      </c>
    </row>
    <row r="25" spans="1:31" ht="12">
      <c r="A25" s="134">
        <f>'Busking Places'!C25</f>
        <v>544670</v>
      </c>
      <c r="B25" s="135">
        <f>'Busking Places'!D25</f>
        <v>258065</v>
      </c>
      <c r="C25" s="9" t="str">
        <f>'Busking Places'!B25</f>
        <v>Silver Street</v>
      </c>
      <c r="D25" s="136">
        <f>IF(ROW(D25)+COLUMN(D25)&gt;$AC$1+5,"",IF(ABS($A25-D$32)+ABS($B25-D$33)&gt;$F$1,"",ABS($A25-D$32)+ABS($B25-D$33)))</f>
      </c>
      <c r="E25" s="136">
        <f>IF(ROW(E25)+COLUMN(E25)&gt;$AC$1+5,"",IF(ABS($A25-E$32)+ABS($B25-E$33)&gt;$F$1,"",ABS($A25-E$32)+ABS($B25-E$33)))</f>
        <v>798</v>
      </c>
      <c r="F25" s="136">
        <f>IF(ROW(F25)+COLUMN(F25)&gt;$AC$1+5,"",IF(ABS($A25-F$32)+ABS($B25-F$33)&gt;$F$1,"",ABS($A25-F$32)+ABS($B25-F$33)))</f>
        <v>549</v>
      </c>
      <c r="G25" s="136">
        <f>IF(ROW(G25)+COLUMN(G25)&gt;$AC$1+5,"",IF(ABS($A25-G$32)+ABS($B25-G$33)&gt;$F$1,"",ABS($A25-G$32)+ABS($B25-G$33)))</f>
        <v>538</v>
      </c>
      <c r="H25" s="137">
        <f>IF(ROW(H25)+COLUMN(H25)&gt;$AC$1+5,"",IF(ABS($A25-H$32)+ABS($B25-H$33)&gt;$F$1,"",ABS($A25-H$32)+ABS($B25-H$33)))</f>
        <v>602</v>
      </c>
      <c r="I25" s="139">
        <f>IF(ROW(I25)+COLUMN(I25)&gt;$AC$1+5,"",IF(ABS($A25-I$32)+ABS($B25-I$33)&gt;$F$1,"",ABS($A25-I$32)+ABS($B25-I$33)))</f>
        <v>606</v>
      </c>
      <c r="J25" s="139">
        <f>IF(ROW(J25)+COLUMN(J25)&gt;$AC$1+5,"",IF(ABS($A25-J$32)+ABS($B25-J$33)&gt;$F$1,"",ABS($A25-J$32)+ABS($B25-J$33)))</f>
      </c>
      <c r="K25" s="139">
        <f>IF(ROW(K25)+COLUMN(K25)&gt;$AC$1+5,"",IF(ABS($A25-K$32)+ABS($B25-K$33)&gt;$F$1,"",ABS($A25-K$32)+ABS($B25-K$33)))</f>
      </c>
      <c r="L25" s="139">
        <f>IF(ROW(L25)+COLUMN(L25)&gt;$AC$1+5,"",IF(ABS($A25-L$32)+ABS($B25-L$33)&gt;$F$1,"",ABS($A25-L$32)+ABS($B25-L$33)))</f>
      </c>
      <c r="M25" s="136">
        <f>IF(ROW(M25)+COLUMN(M25)&gt;$AC$1+5,"",IF(ABS($A25-M$32)+ABS($B25-M$33)&gt;$F$1,"",ABS($A25-M$32)+ABS($B25-M$33)))</f>
      </c>
      <c r="N25" s="136">
        <f>IF(ROW(N25)+COLUMN(N25)&gt;$AC$1+5,"",IF(ABS($A25-N$32)+ABS($B25-N$33)&gt;$F$1,"",ABS($A25-N$32)+ABS($B25-N$33)))</f>
      </c>
      <c r="O25" s="136">
        <f>IF(ROW(O25)+COLUMN(O25)&gt;$AC$1+5,"",IF(ABS($A25-O$32)+ABS($B25-O$33)&gt;$F$1,"",ABS($A25-O$32)+ABS($B25-O$33)))</f>
      </c>
      <c r="P25" s="136">
        <f>IF(ROW(P25)+COLUMN(P25)&gt;$AC$1+5,"",IF(ABS($A25-P$32)+ABS($B25-P$33)&gt;$F$1,"",ABS($A25-P$32)+ABS($B25-P$33)))</f>
      </c>
      <c r="Q25" s="136">
        <f>IF(ROW(Q25)+COLUMN(Q25)&gt;$AC$1+5,"",IF(ABS($A25-Q$32)+ABS($B25-Q$33)&gt;$F$1,"",ABS($A25-Q$32)+ABS($B25-Q$33)))</f>
      </c>
      <c r="R25" s="136">
        <f>IF(ROW(R25)+COLUMN(R25)&gt;$AC$1+5,"",IF(ABS($A25-R$32)+ABS($B25-R$33)&gt;$F$1,"",ABS($A25-R$32)+ABS($B25-R$33)))</f>
      </c>
      <c r="S25" s="136">
        <f>IF(ROW(S25)+COLUMN(S25)&gt;$AC$1+5,"",IF(ABS($A25-S$32)+ABS($B25-S$33)&gt;$F$1,"",ABS($A25-S$32)+ABS($B25-S$33)))</f>
      </c>
      <c r="T25" s="136">
        <f>IF(ROW(T25)+COLUMN(T25)&gt;$AC$1+5,"",IF(ABS($A25-T$32)+ABS($B25-T$33)&gt;$F$1,"",ABS($A25-T$32)+ABS($B25-T$33)))</f>
      </c>
      <c r="U25" s="136">
        <f>IF(ROW(U25)+COLUMN(U25)&gt;$AC$1+5,"",IF(ABS($A25-U$32)+ABS($B25-U$33)&gt;$F$1,"",ABS($A25-U$32)+ABS($B25-U$33)))</f>
      </c>
      <c r="V25" s="136">
        <f>IF(ROW(V25)+COLUMN(V25)&gt;$AC$1+5,"",IF(ABS($A25-V$32)+ABS($B25-V$33)&gt;$F$1,"",ABS($A25-V$32)+ABS($B25-V$33)))</f>
      </c>
      <c r="W25" s="136">
        <f>IF(ROW(W25)+COLUMN(W25)&gt;$AC$1+5,"",IF(ABS($A25-W$32)+ABS($B25-W$33)&gt;$F$1,"",ABS($A25-W$32)+ABS($B25-W$33)))</f>
      </c>
      <c r="X25" s="136">
        <f>IF(ROW(X25)+COLUMN(X25)&gt;$AC$1+5,"",IF(ABS($A25-X$32)+ABS($B25-X$33)&gt;$F$1,"",ABS($A25-X$32)+ABS($B25-X$33)))</f>
      </c>
      <c r="Y25" s="136">
        <f>IF(ROW(Y25)+COLUMN(Y25)&gt;$AC$1+5,"",IF(ABS($A25-Y$32)+ABS($B25-Y$33)&gt;$F$1,"",ABS($A25-Y$32)+ABS($B25-Y$33)))</f>
      </c>
      <c r="Z25" s="136">
        <f>IF(ROW(Z25)+COLUMN(Z25)&gt;$AC$1+5,"",IF(ABS($A25-Z$32)+ABS($B25-Z$33)&gt;$F$1,"",ABS($A25-Z$32)+ABS($B25-Z$33)))</f>
      </c>
      <c r="AA25" s="136">
        <f>IF(ROW(AA25)+COLUMN(AA25)&gt;$AC$1+5,"",IF(ABS($A25-AA$32)+ABS($B25-AA$33)&gt;$F$1,"",ABS($A25-AA$32)+ABS($B25-AA$33)))</f>
      </c>
      <c r="AB25" s="136">
        <f>IF(ROW(AB25)+COLUMN(AB25)&gt;$AC$1+5,"",IF(ABS($A25-AB$32)+ABS($B25-AB$33)&gt;$F$1,"",ABS($A25-AB$32)+ABS($B25-AB$33)))</f>
      </c>
      <c r="AC25" s="136">
        <f>IF(ROW(AC25)+COLUMN(AC25)&gt;$AC$1+5,"",IF(ABS($A25-AC$32)+ABS($B25-AC$33)&gt;$F$1,"",ABS($A25-AC$32)+ABS($B25-AC$33)))</f>
      </c>
      <c r="AD25" s="136">
        <f>IF(ROW(AD25)+COLUMN(AD25)&gt;$AC$1+5,"",IF(ABS($A25-AD$32)+ABS($B25-AD$33)&gt;$F$1,"",ABS($A25-AD$32)+ABS($B25-AD$33)))</f>
      </c>
      <c r="AE25" s="136">
        <f>IF(ROW(AE25)+COLUMN(AE25)&gt;$AC$1+5,"",IF(ABS($A25-AE$32)+ABS($B25-AE$33)&gt;$F$1,"",ABS($A25-AE$32)+ABS($B25-AE$33)))</f>
      </c>
    </row>
    <row r="26" spans="1:31" ht="12">
      <c r="A26" s="134">
        <f>'Busking Places'!C26</f>
        <v>544915</v>
      </c>
      <c r="B26" s="135">
        <f>'Busking Places'!D26</f>
        <v>258426</v>
      </c>
      <c r="C26" s="9" t="str">
        <f>'Busking Places'!B26</f>
        <v>Guildhall, Mkt. Hill</v>
      </c>
      <c r="D26" s="136">
        <f>IF(ROW(D26)+COLUMN(D26)&gt;$AC$1+5,"",IF(ABS($A26-D$32)+ABS($B26-D$33)&gt;$F$1,"",ABS($A26-D$32)+ABS($B26-D$33)))</f>
        <v>301</v>
      </c>
      <c r="E26" s="136">
        <f>IF(ROW(E26)+COLUMN(E26)&gt;$AC$1+5,"",IF(ABS($A26-E$32)+ABS($B26-E$33)&gt;$F$1,"",ABS($A26-E$32)+ABS($B26-E$33)))</f>
        <v>192</v>
      </c>
      <c r="F26" s="136">
        <f>IF(ROW(F26)+COLUMN(F26)&gt;$AC$1+5,"",IF(ABS($A26-F$32)+ABS($B26-F$33)&gt;$F$1,"",ABS($A26-F$32)+ABS($B26-F$33)))</f>
        <v>109</v>
      </c>
      <c r="G26" s="136">
        <f>IF(ROW(G26)+COLUMN(G26)&gt;$AC$1+5,"",IF(ABS($A26-G$32)+ABS($B26-G$33)&gt;$F$1,"",ABS($A26-G$32)+ABS($B26-G$33)))</f>
        <v>68</v>
      </c>
      <c r="H26" s="137">
        <f>IF(ROW(H26)+COLUMN(H26)&gt;$AC$1+5,"",IF(ABS($A26-H$32)+ABS($B26-H$33)&gt;$F$1,"",ABS($A26-H$32)+ABS($B26-H$33)))</f>
        <v>72</v>
      </c>
      <c r="I26" s="139">
        <f>IF(ROW(I26)+COLUMN(I26)&gt;$AC$1+5,"",IF(ABS($A26-I$32)+ABS($B26-I$33)&gt;$F$1,"",ABS($A26-I$32)+ABS($B26-I$33)))</f>
      </c>
      <c r="J26" s="139">
        <f>IF(ROW(J26)+COLUMN(J26)&gt;$AC$1+5,"",IF(ABS($A26-J$32)+ABS($B26-J$33)&gt;$F$1,"",ABS($A26-J$32)+ABS($B26-J$33)))</f>
      </c>
      <c r="K26" s="139">
        <f>IF(ROW(K26)+COLUMN(K26)&gt;$AC$1+5,"",IF(ABS($A26-K$32)+ABS($B26-K$33)&gt;$F$1,"",ABS($A26-K$32)+ABS($B26-K$33)))</f>
      </c>
      <c r="L26" s="139">
        <f>IF(ROW(L26)+COLUMN(L26)&gt;$AC$1+5,"",IF(ABS($A26-L$32)+ABS($B26-L$33)&gt;$F$1,"",ABS($A26-L$32)+ABS($B26-L$33)))</f>
      </c>
      <c r="M26" s="136">
        <f>IF(ROW(M26)+COLUMN(M26)&gt;$AC$1+5,"",IF(ABS($A26-M$32)+ABS($B26-M$33)&gt;$F$1,"",ABS($A26-M$32)+ABS($B26-M$33)))</f>
      </c>
      <c r="N26" s="136">
        <f>IF(ROW(N26)+COLUMN(N26)&gt;$AC$1+5,"",IF(ABS($A26-N$32)+ABS($B26-N$33)&gt;$F$1,"",ABS($A26-N$32)+ABS($B26-N$33)))</f>
      </c>
      <c r="O26" s="136">
        <f>IF(ROW(O26)+COLUMN(O26)&gt;$AC$1+5,"",IF(ABS($A26-O$32)+ABS($B26-O$33)&gt;$F$1,"",ABS($A26-O$32)+ABS($B26-O$33)))</f>
      </c>
      <c r="P26" s="136">
        <f>IF(ROW(P26)+COLUMN(P26)&gt;$AC$1+5,"",IF(ABS($A26-P$32)+ABS($B26-P$33)&gt;$F$1,"",ABS($A26-P$32)+ABS($B26-P$33)))</f>
      </c>
      <c r="Q26" s="136">
        <f>IF(ROW(Q26)+COLUMN(Q26)&gt;$AC$1+5,"",IF(ABS($A26-Q$32)+ABS($B26-Q$33)&gt;$F$1,"",ABS($A26-Q$32)+ABS($B26-Q$33)))</f>
      </c>
      <c r="R26" s="136">
        <f>IF(ROW(R26)+COLUMN(R26)&gt;$AC$1+5,"",IF(ABS($A26-R$32)+ABS($B26-R$33)&gt;$F$1,"",ABS($A26-R$32)+ABS($B26-R$33)))</f>
      </c>
      <c r="S26" s="136">
        <f>IF(ROW(S26)+COLUMN(S26)&gt;$AC$1+5,"",IF(ABS($A26-S$32)+ABS($B26-S$33)&gt;$F$1,"",ABS($A26-S$32)+ABS($B26-S$33)))</f>
      </c>
      <c r="T26" s="136">
        <f>IF(ROW(T26)+COLUMN(T26)&gt;$AC$1+5,"",IF(ABS($A26-T$32)+ABS($B26-T$33)&gt;$F$1,"",ABS($A26-T$32)+ABS($B26-T$33)))</f>
      </c>
      <c r="U26" s="136">
        <f>IF(ROW(U26)+COLUMN(U26)&gt;$AC$1+5,"",IF(ABS($A26-U$32)+ABS($B26-U$33)&gt;$F$1,"",ABS($A26-U$32)+ABS($B26-U$33)))</f>
      </c>
      <c r="V26" s="136">
        <f>IF(ROW(V26)+COLUMN(V26)&gt;$AC$1+5,"",IF(ABS($A26-V$32)+ABS($B26-V$33)&gt;$F$1,"",ABS($A26-V$32)+ABS($B26-V$33)))</f>
      </c>
      <c r="W26" s="136">
        <f>IF(ROW(W26)+COLUMN(W26)&gt;$AC$1+5,"",IF(ABS($A26-W$32)+ABS($B26-W$33)&gt;$F$1,"",ABS($A26-W$32)+ABS($B26-W$33)))</f>
      </c>
      <c r="X26" s="136">
        <f>IF(ROW(X26)+COLUMN(X26)&gt;$AC$1+5,"",IF(ABS($A26-X$32)+ABS($B26-X$33)&gt;$F$1,"",ABS($A26-X$32)+ABS($B26-X$33)))</f>
      </c>
      <c r="Y26" s="136">
        <f>IF(ROW(Y26)+COLUMN(Y26)&gt;$AC$1+5,"",IF(ABS($A26-Y$32)+ABS($B26-Y$33)&gt;$F$1,"",ABS($A26-Y$32)+ABS($B26-Y$33)))</f>
      </c>
      <c r="Z26" s="136">
        <f>IF(ROW(Z26)+COLUMN(Z26)&gt;$AC$1+5,"",IF(ABS($A26-Z$32)+ABS($B26-Z$33)&gt;$F$1,"",ABS($A26-Z$32)+ABS($B26-Z$33)))</f>
      </c>
      <c r="AA26" s="136">
        <f>IF(ROW(AA26)+COLUMN(AA26)&gt;$AC$1+5,"",IF(ABS($A26-AA$32)+ABS($B26-AA$33)&gt;$F$1,"",ABS($A26-AA$32)+ABS($B26-AA$33)))</f>
      </c>
      <c r="AB26" s="136">
        <f>IF(ROW(AB26)+COLUMN(AB26)&gt;$AC$1+5,"",IF(ABS($A26-AB$32)+ABS($B26-AB$33)&gt;$F$1,"",ABS($A26-AB$32)+ABS($B26-AB$33)))</f>
      </c>
      <c r="AC26" s="136">
        <f>IF(ROW(AC26)+COLUMN(AC26)&gt;$AC$1+5,"",IF(ABS($A26-AC$32)+ABS($B26-AC$33)&gt;$F$1,"",ABS($A26-AC$32)+ABS($B26-AC$33)))</f>
      </c>
      <c r="AD26" s="136">
        <f>IF(ROW(AD26)+COLUMN(AD26)&gt;$AC$1+5,"",IF(ABS($A26-AD$32)+ABS($B26-AD$33)&gt;$F$1,"",ABS($A26-AD$32)+ABS($B26-AD$33)))</f>
      </c>
      <c r="AE26" s="136">
        <f>IF(ROW(AE26)+COLUMN(AE26)&gt;$AC$1+5,"",IF(ABS($A26-AE$32)+ABS($B26-AE$33)&gt;$F$1,"",ABS($A26-AE$32)+ABS($B26-AE$33)))</f>
      </c>
    </row>
    <row r="27" spans="1:31" ht="12">
      <c r="A27" s="134">
        <f>'Busking Places'!C27</f>
        <v>544949</v>
      </c>
      <c r="B27" s="135">
        <f>'Busking Places'!D27</f>
        <v>258388</v>
      </c>
      <c r="C27" s="138" t="str">
        <f>'Busking Places'!B27</f>
        <v>Guildhall, Talos</v>
      </c>
      <c r="D27" s="137">
        <f>IF(ROW(D27)+COLUMN(D27)&gt;$AC$1+5,"",IF(ABS($A27-D$32)+ABS($B27-D$33)&gt;$F$1,"",ABS($A27-D$32)+ABS($B27-D$33)))</f>
        <v>305</v>
      </c>
      <c r="E27" s="137">
        <f>IF(ROW(E27)+COLUMN(E27)&gt;$AC$1+5,"",IF(ABS($A27-E$32)+ABS($B27-E$33)&gt;$F$1,"",ABS($A27-E$32)+ABS($B27-E$33)))</f>
        <v>196</v>
      </c>
      <c r="F27" s="137">
        <f>IF(ROW(F27)+COLUMN(F27)&gt;$AC$1+5,"",IF(ABS($A27-F$32)+ABS($B27-F$33)&gt;$F$1,"",ABS($A27-F$32)+ABS($B27-F$33)))</f>
        <v>181</v>
      </c>
      <c r="G27" s="137">
        <f>IF(ROW(G27)+COLUMN(G27)&gt;$AC$1+5,"",IF(ABS($A27-G$32)+ABS($B27-G$33)&gt;$F$1,"",ABS($A27-G$32)+ABS($B27-G$33)))</f>
        <v>68</v>
      </c>
      <c r="H27" s="139">
        <f>IF(ROW(H27)+COLUMN(H27)&gt;$AC$1+5,"",IF(ABS($A27-H$32)+ABS($B27-H$33)&gt;$F$1,"",ABS($A27-H$32)+ABS($B27-H$33)))</f>
      </c>
      <c r="I27" s="139">
        <f>IF(ROW(I27)+COLUMN(I27)&gt;$AC$1+5,"",IF(ABS($A27-I$32)+ABS($B27-I$33)&gt;$F$1,"",ABS($A27-I$32)+ABS($B27-I$33)))</f>
      </c>
      <c r="J27" s="139">
        <f>IF(ROW(J27)+COLUMN(J27)&gt;$AC$1+5,"",IF(ABS($A27-J$32)+ABS($B27-J$33)&gt;$F$1,"",ABS($A27-J$32)+ABS($B27-J$33)))</f>
      </c>
      <c r="K27" s="139">
        <f>IF(ROW(K27)+COLUMN(K27)&gt;$AC$1+5,"",IF(ABS($A27-K$32)+ABS($B27-K$33)&gt;$F$1,"",ABS($A27-K$32)+ABS($B27-K$33)))</f>
      </c>
      <c r="L27" s="139">
        <f>IF(ROW(L27)+COLUMN(L27)&gt;$AC$1+5,"",IF(ABS($A27-L$32)+ABS($B27-L$33)&gt;$F$1,"",ABS($A27-L$32)+ABS($B27-L$33)))</f>
      </c>
      <c r="M27" s="136">
        <f>IF(ROW(M27)+COLUMN(M27)&gt;$AC$1+5,"",IF(ABS($A27-M$32)+ABS($B27-M$33)&gt;$F$1,"",ABS($A27-M$32)+ABS($B27-M$33)))</f>
      </c>
      <c r="N27" s="136">
        <f>IF(ROW(N27)+COLUMN(N27)&gt;$AC$1+5,"",IF(ABS($A27-N$32)+ABS($B27-N$33)&gt;$F$1,"",ABS($A27-N$32)+ABS($B27-N$33)))</f>
      </c>
      <c r="O27" s="136">
        <f>IF(ROW(O27)+COLUMN(O27)&gt;$AC$1+5,"",IF(ABS($A27-O$32)+ABS($B27-O$33)&gt;$F$1,"",ABS($A27-O$32)+ABS($B27-O$33)))</f>
      </c>
      <c r="P27" s="136">
        <f>IF(ROW(P27)+COLUMN(P27)&gt;$AC$1+5,"",IF(ABS($A27-P$32)+ABS($B27-P$33)&gt;$F$1,"",ABS($A27-P$32)+ABS($B27-P$33)))</f>
      </c>
      <c r="Q27" s="136">
        <f>IF(ROW(Q27)+COLUMN(Q27)&gt;$AC$1+5,"",IF(ABS($A27-Q$32)+ABS($B27-Q$33)&gt;$F$1,"",ABS($A27-Q$32)+ABS($B27-Q$33)))</f>
      </c>
      <c r="R27" s="136">
        <f>IF(ROW(R27)+COLUMN(R27)&gt;$AC$1+5,"",IF(ABS($A27-R$32)+ABS($B27-R$33)&gt;$F$1,"",ABS($A27-R$32)+ABS($B27-R$33)))</f>
      </c>
      <c r="S27" s="136">
        <f>IF(ROW(S27)+COLUMN(S27)&gt;$AC$1+5,"",IF(ABS($A27-S$32)+ABS($B27-S$33)&gt;$F$1,"",ABS($A27-S$32)+ABS($B27-S$33)))</f>
      </c>
      <c r="T27" s="136">
        <f>IF(ROW(T27)+COLUMN(T27)&gt;$AC$1+5,"",IF(ABS($A27-T$32)+ABS($B27-T$33)&gt;$F$1,"",ABS($A27-T$32)+ABS($B27-T$33)))</f>
      </c>
      <c r="U27" s="136">
        <f>IF(ROW(U27)+COLUMN(U27)&gt;$AC$1+5,"",IF(ABS($A27-U$32)+ABS($B27-U$33)&gt;$F$1,"",ABS($A27-U$32)+ABS($B27-U$33)))</f>
      </c>
      <c r="V27" s="136">
        <f>IF(ROW(V27)+COLUMN(V27)&gt;$AC$1+5,"",IF(ABS($A27-V$32)+ABS($B27-V$33)&gt;$F$1,"",ABS($A27-V$32)+ABS($B27-V$33)))</f>
      </c>
      <c r="W27" s="136">
        <f>IF(ROW(W27)+COLUMN(W27)&gt;$AC$1+5,"",IF(ABS($A27-W$32)+ABS($B27-W$33)&gt;$F$1,"",ABS($A27-W$32)+ABS($B27-W$33)))</f>
      </c>
      <c r="X27" s="136">
        <f>IF(ROW(X27)+COLUMN(X27)&gt;$AC$1+5,"",IF(ABS($A27-X$32)+ABS($B27-X$33)&gt;$F$1,"",ABS($A27-X$32)+ABS($B27-X$33)))</f>
      </c>
      <c r="Y27" s="136">
        <f>IF(ROW(Y27)+COLUMN(Y27)&gt;$AC$1+5,"",IF(ABS($A27-Y$32)+ABS($B27-Y$33)&gt;$F$1,"",ABS($A27-Y$32)+ABS($B27-Y$33)))</f>
      </c>
      <c r="Z27" s="136">
        <f>IF(ROW(Z27)+COLUMN(Z27)&gt;$AC$1+5,"",IF(ABS($A27-Z$32)+ABS($B27-Z$33)&gt;$F$1,"",ABS($A27-Z$32)+ABS($B27-Z$33)))</f>
      </c>
      <c r="AA27" s="136">
        <f>IF(ROW(AA27)+COLUMN(AA27)&gt;$AC$1+5,"",IF(ABS($A27-AA$32)+ABS($B27-AA$33)&gt;$F$1,"",ABS($A27-AA$32)+ABS($B27-AA$33)))</f>
      </c>
      <c r="AB27" s="136">
        <f>IF(ROW(AB27)+COLUMN(AB27)&gt;$AC$1+5,"",IF(ABS($A27-AB$32)+ABS($B27-AB$33)&gt;$F$1,"",ABS($A27-AB$32)+ABS($B27-AB$33)))</f>
      </c>
      <c r="AC27" s="136">
        <f>IF(ROW(AC27)+COLUMN(AC27)&gt;$AC$1+5,"",IF(ABS($A27-AC$32)+ABS($B27-AC$33)&gt;$F$1,"",ABS($A27-AC$32)+ABS($B27-AC$33)))</f>
      </c>
      <c r="AD27" s="136">
        <f>IF(ROW(AD27)+COLUMN(AD27)&gt;$AC$1+5,"",IF(ABS($A27-AD$32)+ABS($B27-AD$33)&gt;$F$1,"",ABS($A27-AD$32)+ABS($B27-AD$33)))</f>
      </c>
      <c r="AE27" s="136">
        <f>IF(ROW(AE27)+COLUMN(AE27)&gt;$AC$1+5,"",IF(ABS($A27-AE$32)+ABS($B27-AE$33)&gt;$F$1,"",ABS($A27-AE$32)+ABS($B27-AE$33)))</f>
      </c>
    </row>
    <row r="28" spans="1:31" ht="12">
      <c r="A28" s="134">
        <f>'Busking Places'!C28</f>
        <v>544883</v>
      </c>
      <c r="B28" s="135">
        <f>'Busking Places'!D28</f>
        <v>258390</v>
      </c>
      <c r="C28" s="9" t="str">
        <f>'Busking Places'!B28</f>
        <v>Guildhall, Peas Hill</v>
      </c>
      <c r="D28" s="136">
        <f>IF(ROW(D28)+COLUMN(D28)&gt;$AC$1+5,"",IF(ABS($A28-D$32)+ABS($B28-D$33)&gt;$F$1,"",ABS($A28-D$32)+ABS($B28-D$33)))</f>
        <v>369</v>
      </c>
      <c r="E28" s="136">
        <f>IF(ROW(E28)+COLUMN(E28)&gt;$AC$1+5,"",IF(ABS($A28-E$32)+ABS($B28-E$33)&gt;$F$1,"",ABS($A28-E$32)+ABS($B28-E$33)))</f>
        <v>260</v>
      </c>
      <c r="F28" s="136">
        <f>IF(ROW(F28)+COLUMN(F28)&gt;$AC$1+5,"",IF(ABS($A28-F$32)+ABS($B28-F$33)&gt;$F$1,"",ABS($A28-F$32)+ABS($B28-F$33)))</f>
        <v>113</v>
      </c>
      <c r="G28" s="136">
        <f>IF(ROW(G28)+COLUMN(G28)&gt;$AC$1+5,"",IF(ABS($A28-G$32)+ABS($B28-G$33)&gt;$F$1,"",ABS($A28-G$32)+ABS($B28-G$33)))</f>
      </c>
      <c r="H28" s="136">
        <f>IF(ROW(H28)+COLUMN(H28)&gt;$AC$1+5,"",IF(ABS($A28-H$32)+ABS($B28-H$33)&gt;$F$1,"",ABS($A28-H$32)+ABS($B28-H$33)))</f>
      </c>
      <c r="I28" s="136">
        <f>IF(ROW(I28)+COLUMN(I28)&gt;$AC$1+5,"",IF(ABS($A28-I$32)+ABS($B28-I$33)&gt;$F$1,"",ABS($A28-I$32)+ABS($B28-I$33)))</f>
      </c>
      <c r="J28" s="136">
        <f>IF(ROW(J28)+COLUMN(J28)&gt;$AC$1+5,"",IF(ABS($A28-J$32)+ABS($B28-J$33)&gt;$F$1,"",ABS($A28-J$32)+ABS($B28-J$33)))</f>
      </c>
      <c r="K28" s="136">
        <f>IF(ROW(K28)+COLUMN(K28)&gt;$AC$1+5,"",IF(ABS($A28-K$32)+ABS($B28-K$33)&gt;$F$1,"",ABS($A28-K$32)+ABS($B28-K$33)))</f>
      </c>
      <c r="L28" s="136">
        <f>IF(ROW(L28)+COLUMN(L28)&gt;$AC$1+5,"",IF(ABS($A28-L$32)+ABS($B28-L$33)&gt;$F$1,"",ABS($A28-L$32)+ABS($B28-L$33)))</f>
      </c>
      <c r="M28" s="136">
        <f>IF(ROW(M28)+COLUMN(M28)&gt;$AC$1+5,"",IF(ABS($A28-M$32)+ABS($B28-M$33)&gt;$F$1,"",ABS($A28-M$32)+ABS($B28-M$33)))</f>
      </c>
      <c r="N28" s="136">
        <f>IF(ROW(N28)+COLUMN(N28)&gt;$AC$1+5,"",IF(ABS($A28-N$32)+ABS($B28-N$33)&gt;$F$1,"",ABS($A28-N$32)+ABS($B28-N$33)))</f>
      </c>
      <c r="O28" s="136">
        <f>IF(ROW(O28)+COLUMN(O28)&gt;$AC$1+5,"",IF(ABS($A28-O$32)+ABS($B28-O$33)&gt;$F$1,"",ABS($A28-O$32)+ABS($B28-O$33)))</f>
      </c>
      <c r="P28" s="136">
        <f>IF(ROW(P28)+COLUMN(P28)&gt;$AC$1+5,"",IF(ABS($A28-P$32)+ABS($B28-P$33)&gt;$F$1,"",ABS($A28-P$32)+ABS($B28-P$33)))</f>
      </c>
      <c r="Q28" s="136">
        <f>IF(ROW(Q28)+COLUMN(Q28)&gt;$AC$1+5,"",IF(ABS($A28-Q$32)+ABS($B28-Q$33)&gt;$F$1,"",ABS($A28-Q$32)+ABS($B28-Q$33)))</f>
      </c>
      <c r="R28" s="136">
        <f>IF(ROW(R28)+COLUMN(R28)&gt;$AC$1+5,"",IF(ABS($A28-R$32)+ABS($B28-R$33)&gt;$F$1,"",ABS($A28-R$32)+ABS($B28-R$33)))</f>
      </c>
      <c r="S28" s="136">
        <f>IF(ROW(S28)+COLUMN(S28)&gt;$AC$1+5,"",IF(ABS($A28-S$32)+ABS($B28-S$33)&gt;$F$1,"",ABS($A28-S$32)+ABS($B28-S$33)))</f>
      </c>
      <c r="T28" s="136">
        <f>IF(ROW(T28)+COLUMN(T28)&gt;$AC$1+5,"",IF(ABS($A28-T$32)+ABS($B28-T$33)&gt;$F$1,"",ABS($A28-T$32)+ABS($B28-T$33)))</f>
      </c>
      <c r="U28" s="136">
        <f>IF(ROW(U28)+COLUMN(U28)&gt;$AC$1+5,"",IF(ABS($A28-U$32)+ABS($B28-U$33)&gt;$F$1,"",ABS($A28-U$32)+ABS($B28-U$33)))</f>
      </c>
      <c r="V28" s="136">
        <f>IF(ROW(V28)+COLUMN(V28)&gt;$AC$1+5,"",IF(ABS($A28-V$32)+ABS($B28-V$33)&gt;$F$1,"",ABS($A28-V$32)+ABS($B28-V$33)))</f>
      </c>
      <c r="W28" s="136">
        <f>IF(ROW(W28)+COLUMN(W28)&gt;$AC$1+5,"",IF(ABS($A28-W$32)+ABS($B28-W$33)&gt;$F$1,"",ABS($A28-W$32)+ABS($B28-W$33)))</f>
      </c>
      <c r="X28" s="136">
        <f>IF(ROW(X28)+COLUMN(X28)&gt;$AC$1+5,"",IF(ABS($A28-X$32)+ABS($B28-X$33)&gt;$F$1,"",ABS($A28-X$32)+ABS($B28-X$33)))</f>
      </c>
      <c r="Y28" s="136">
        <f>IF(ROW(Y28)+COLUMN(Y28)&gt;$AC$1+5,"",IF(ABS($A28-Y$32)+ABS($B28-Y$33)&gt;$F$1,"",ABS($A28-Y$32)+ABS($B28-Y$33)))</f>
      </c>
      <c r="Z28" s="136">
        <f>IF(ROW(Z28)+COLUMN(Z28)&gt;$AC$1+5,"",IF(ABS($A28-Z$32)+ABS($B28-Z$33)&gt;$F$1,"",ABS($A28-Z$32)+ABS($B28-Z$33)))</f>
      </c>
      <c r="AA28" s="136">
        <f>IF(ROW(AA28)+COLUMN(AA28)&gt;$AC$1+5,"",IF(ABS($A28-AA$32)+ABS($B28-AA$33)&gt;$F$1,"",ABS($A28-AA$32)+ABS($B28-AA$33)))</f>
      </c>
      <c r="AB28" s="136">
        <f>IF(ROW(AB28)+COLUMN(AB28)&gt;$AC$1+5,"",IF(ABS($A28-AB$32)+ABS($B28-AB$33)&gt;$F$1,"",ABS($A28-AB$32)+ABS($B28-AB$33)))</f>
      </c>
      <c r="AC28" s="136">
        <f>IF(ROW(AC28)+COLUMN(AC28)&gt;$AC$1+5,"",IF(ABS($A28-AC$32)+ABS($B28-AC$33)&gt;$F$1,"",ABS($A28-AC$32)+ABS($B28-AC$33)))</f>
      </c>
      <c r="AD28" s="136">
        <f>IF(ROW(AD28)+COLUMN(AD28)&gt;$AC$1+5,"",IF(ABS($A28-AD$32)+ABS($B28-AD$33)&gt;$F$1,"",ABS($A28-AD$32)+ABS($B28-AD$33)))</f>
      </c>
      <c r="AE28" s="136">
        <f>IF(ROW(AE28)+COLUMN(AE28)&gt;$AC$1+5,"",IF(ABS($A28-AE$32)+ABS($B28-AE$33)&gt;$F$1,"",ABS($A28-AE$32)+ABS($B28-AE$33)))</f>
      </c>
    </row>
    <row r="29" spans="1:31" ht="12">
      <c r="A29" s="134">
        <f>'Busking Places'!C29</f>
        <v>544832</v>
      </c>
      <c r="B29" s="135">
        <f>'Busking Places'!D29</f>
        <v>258452</v>
      </c>
      <c r="C29" s="9" t="str">
        <f>'Busking Places'!B29</f>
        <v>Gt St Mary's</v>
      </c>
      <c r="D29" s="136">
        <f>IF(ROW(D29)+COLUMN(D29)&gt;$AC$1+5,"",IF(ABS($A29-D$32)+ABS($B29-D$33)&gt;$F$1,"",ABS($A29-D$32)+ABS($B29-D$33)))</f>
        <v>358</v>
      </c>
      <c r="E29" s="136">
        <f>IF(ROW(E29)+COLUMN(E29)&gt;$AC$1+5,"",IF(ABS($A29-E$32)+ABS($B29-E$33)&gt;$F$1,"",ABS($A29-E$32)+ABS($B29-E$33)))</f>
        <v>249</v>
      </c>
      <c r="F29" s="136">
        <f>IF(ROW(F29)+COLUMN(F29)&gt;$AC$1+5,"",IF(ABS($A29-F$32)+ABS($B29-F$33)&gt;$F$1,"",ABS($A29-F$32)+ABS($B29-F$33)))</f>
      </c>
      <c r="G29" s="136">
        <f>IF(ROW(G29)+COLUMN(G29)&gt;$AC$1+5,"",IF(ABS($A29-G$32)+ABS($B29-G$33)&gt;$F$1,"",ABS($A29-G$32)+ABS($B29-G$33)))</f>
      </c>
      <c r="H29" s="136">
        <f>IF(ROW(H29)+COLUMN(H29)&gt;$AC$1+5,"",IF(ABS($A29-H$32)+ABS($B29-H$33)&gt;$F$1,"",ABS($A29-H$32)+ABS($B29-H$33)))</f>
      </c>
      <c r="I29" s="136">
        <f>IF(ROW(I29)+COLUMN(I29)&gt;$AC$1+5,"",IF(ABS($A29-I$32)+ABS($B29-I$33)&gt;$F$1,"",ABS($A29-I$32)+ABS($B29-I$33)))</f>
      </c>
      <c r="J29" s="136">
        <f>IF(ROW(J29)+COLUMN(J29)&gt;$AC$1+5,"",IF(ABS($A29-J$32)+ABS($B29-J$33)&gt;$F$1,"",ABS($A29-J$32)+ABS($B29-J$33)))</f>
      </c>
      <c r="K29" s="136">
        <f>IF(ROW(K29)+COLUMN(K29)&gt;$AC$1+5,"",IF(ABS($A29-K$32)+ABS($B29-K$33)&gt;$F$1,"",ABS($A29-K$32)+ABS($B29-K$33)))</f>
      </c>
      <c r="L29" s="136">
        <f>IF(ROW(L29)+COLUMN(L29)&gt;$AC$1+5,"",IF(ABS($A29-L$32)+ABS($B29-L$33)&gt;$F$1,"",ABS($A29-L$32)+ABS($B29-L$33)))</f>
      </c>
      <c r="M29" s="136">
        <f>IF(ROW(M29)+COLUMN(M29)&gt;$AC$1+5,"",IF(ABS($A29-M$32)+ABS($B29-M$33)&gt;$F$1,"",ABS($A29-M$32)+ABS($B29-M$33)))</f>
      </c>
      <c r="N29" s="136">
        <f>IF(ROW(N29)+COLUMN(N29)&gt;$AC$1+5,"",IF(ABS($A29-N$32)+ABS($B29-N$33)&gt;$F$1,"",ABS($A29-N$32)+ABS($B29-N$33)))</f>
      </c>
      <c r="O29" s="136">
        <f>IF(ROW(O29)+COLUMN(O29)&gt;$AC$1+5,"",IF(ABS($A29-O$32)+ABS($B29-O$33)&gt;$F$1,"",ABS($A29-O$32)+ABS($B29-O$33)))</f>
      </c>
      <c r="P29" s="136">
        <f>IF(ROW(P29)+COLUMN(P29)&gt;$AC$1+5,"",IF(ABS($A29-P$32)+ABS($B29-P$33)&gt;$F$1,"",ABS($A29-P$32)+ABS($B29-P$33)))</f>
      </c>
      <c r="Q29" s="136">
        <f>IF(ROW(Q29)+COLUMN(Q29)&gt;$AC$1+5,"",IF(ABS($A29-Q$32)+ABS($B29-Q$33)&gt;$F$1,"",ABS($A29-Q$32)+ABS($B29-Q$33)))</f>
      </c>
      <c r="R29" s="136">
        <f>IF(ROW(R29)+COLUMN(R29)&gt;$AC$1+5,"",IF(ABS($A29-R$32)+ABS($B29-R$33)&gt;$F$1,"",ABS($A29-R$32)+ABS($B29-R$33)))</f>
      </c>
      <c r="S29" s="136">
        <f>IF(ROW(S29)+COLUMN(S29)&gt;$AC$1+5,"",IF(ABS($A29-S$32)+ABS($B29-S$33)&gt;$F$1,"",ABS($A29-S$32)+ABS($B29-S$33)))</f>
      </c>
      <c r="T29" s="136">
        <f>IF(ROW(T29)+COLUMN(T29)&gt;$AC$1+5,"",IF(ABS($A29-T$32)+ABS($B29-T$33)&gt;$F$1,"",ABS($A29-T$32)+ABS($B29-T$33)))</f>
      </c>
      <c r="U29" s="136">
        <f>IF(ROW(U29)+COLUMN(U29)&gt;$AC$1+5,"",IF(ABS($A29-U$32)+ABS($B29-U$33)&gt;$F$1,"",ABS($A29-U$32)+ABS($B29-U$33)))</f>
      </c>
      <c r="V29" s="136">
        <f>IF(ROW(V29)+COLUMN(V29)&gt;$AC$1+5,"",IF(ABS($A29-V$32)+ABS($B29-V$33)&gt;$F$1,"",ABS($A29-V$32)+ABS($B29-V$33)))</f>
      </c>
      <c r="W29" s="136">
        <f>IF(ROW(W29)+COLUMN(W29)&gt;$AC$1+5,"",IF(ABS($A29-W$32)+ABS($B29-W$33)&gt;$F$1,"",ABS($A29-W$32)+ABS($B29-W$33)))</f>
      </c>
      <c r="X29" s="136">
        <f>IF(ROW(X29)+COLUMN(X29)&gt;$AC$1+5,"",IF(ABS($A29-X$32)+ABS($B29-X$33)&gt;$F$1,"",ABS($A29-X$32)+ABS($B29-X$33)))</f>
      </c>
      <c r="Y29" s="136">
        <f>IF(ROW(Y29)+COLUMN(Y29)&gt;$AC$1+5,"",IF(ABS($A29-Y$32)+ABS($B29-Y$33)&gt;$F$1,"",ABS($A29-Y$32)+ABS($B29-Y$33)))</f>
      </c>
      <c r="Z29" s="136">
        <f>IF(ROW(Z29)+COLUMN(Z29)&gt;$AC$1+5,"",IF(ABS($A29-Z$32)+ABS($B29-Z$33)&gt;$F$1,"",ABS($A29-Z$32)+ABS($B29-Z$33)))</f>
      </c>
      <c r="AA29" s="136">
        <f>IF(ROW(AA29)+COLUMN(AA29)&gt;$AC$1+5,"",IF(ABS($A29-AA$32)+ABS($B29-AA$33)&gt;$F$1,"",ABS($A29-AA$32)+ABS($B29-AA$33)))</f>
      </c>
      <c r="AB29" s="136">
        <f>IF(ROW(AB29)+COLUMN(AB29)&gt;$AC$1+5,"",IF(ABS($A29-AB$32)+ABS($B29-AB$33)&gt;$F$1,"",ABS($A29-AB$32)+ABS($B29-AB$33)))</f>
      </c>
      <c r="AC29" s="136">
        <f>IF(ROW(AC29)+COLUMN(AC29)&gt;$AC$1+5,"",IF(ABS($A29-AC$32)+ABS($B29-AC$33)&gt;$F$1,"",ABS($A29-AC$32)+ABS($B29-AC$33)))</f>
      </c>
      <c r="AD29" s="136">
        <f>IF(ROW(AD29)+COLUMN(AD29)&gt;$AC$1+5,"",IF(ABS($A29-AD$32)+ABS($B29-AD$33)&gt;$F$1,"",ABS($A29-AD$32)+ABS($B29-AD$33)))</f>
      </c>
      <c r="AE29" s="136">
        <f>IF(ROW(AE29)+COLUMN(AE29)&gt;$AC$1+5,"",IF(ABS($A29-AE$32)+ABS($B29-AE$33)&gt;$F$1,"",ABS($A29-AE$32)+ABS($B29-AE$33)))</f>
      </c>
    </row>
    <row r="30" spans="1:31" ht="12">
      <c r="A30" s="134">
        <f>'Busking Places'!C30</f>
        <v>545029</v>
      </c>
      <c r="B30" s="135">
        <f>'Busking Places'!D30</f>
        <v>258504</v>
      </c>
      <c r="C30" s="9" t="str">
        <f>'Busking Places'!B30</f>
        <v>Sidney Street</v>
      </c>
      <c r="D30" s="136">
        <f>IF(ROW(D30)+COLUMN(D30)&gt;$AC$1+5,"",IF(ABS($A30-D$32)+ABS($B30-D$33)&gt;$F$1,"",ABS($A30-D$32)+ABS($B30-D$33)))</f>
        <v>115</v>
      </c>
      <c r="E30" s="136">
        <f>IF(ROW(E30)+COLUMN(E30)&gt;$AC$1+5,"",IF(ABS($A30-E$32)+ABS($B30-E$33)&gt;$F$1,"",ABS($A30-E$32)+ABS($B30-E$33)))</f>
      </c>
      <c r="F30" s="136">
        <f>IF(ROW(F30)+COLUMN(F30)&gt;$AC$1+5,"",IF(ABS($A30-F$32)+ABS($B30-F$33)&gt;$F$1,"",ABS($A30-F$32)+ABS($B30-F$33)))</f>
      </c>
      <c r="G30" s="136">
        <f>IF(ROW(G30)+COLUMN(G30)&gt;$AC$1+5,"",IF(ABS($A30-G$32)+ABS($B30-G$33)&gt;$F$1,"",ABS($A30-G$32)+ABS($B30-G$33)))</f>
      </c>
      <c r="H30" s="136">
        <f>IF(ROW(H30)+COLUMN(H30)&gt;$AC$1+5,"",IF(ABS($A30-H$32)+ABS($B30-H$33)&gt;$F$1,"",ABS($A30-H$32)+ABS($B30-H$33)))</f>
      </c>
      <c r="I30" s="136">
        <f>IF(ROW(I30)+COLUMN(I30)&gt;$AC$1+5,"",IF(ABS($A30-I$32)+ABS($B30-I$33)&gt;$F$1,"",ABS($A30-I$32)+ABS($B30-I$33)))</f>
      </c>
      <c r="J30" s="136">
        <f>IF(ROW(J30)+COLUMN(J30)&gt;$AC$1+5,"",IF(ABS($A30-J$32)+ABS($B30-J$33)&gt;$F$1,"",ABS($A30-J$32)+ABS($B30-J$33)))</f>
      </c>
      <c r="K30" s="136">
        <f>IF(ROW(K30)+COLUMN(K30)&gt;$AC$1+5,"",IF(ABS($A30-K$32)+ABS($B30-K$33)&gt;$F$1,"",ABS($A30-K$32)+ABS($B30-K$33)))</f>
      </c>
      <c r="L30" s="136">
        <f>IF(ROW(L30)+COLUMN(L30)&gt;$AC$1+5,"",IF(ABS($A30-L$32)+ABS($B30-L$33)&gt;$F$1,"",ABS($A30-L$32)+ABS($B30-L$33)))</f>
      </c>
      <c r="M30" s="136">
        <f>IF(ROW(M30)+COLUMN(M30)&gt;$AC$1+5,"",IF(ABS($A30-M$32)+ABS($B30-M$33)&gt;$F$1,"",ABS($A30-M$32)+ABS($B30-M$33)))</f>
      </c>
      <c r="N30" s="136">
        <f>IF(ROW(N30)+COLUMN(N30)&gt;$AC$1+5,"",IF(ABS($A30-N$32)+ABS($B30-N$33)&gt;$F$1,"",ABS($A30-N$32)+ABS($B30-N$33)))</f>
      </c>
      <c r="O30" s="136">
        <f>IF(ROW(O30)+COLUMN(O30)&gt;$AC$1+5,"",IF(ABS($A30-O$32)+ABS($B30-O$33)&gt;$F$1,"",ABS($A30-O$32)+ABS($B30-O$33)))</f>
      </c>
      <c r="P30" s="136">
        <f>IF(ROW(P30)+COLUMN(P30)&gt;$AC$1+5,"",IF(ABS($A30-P$32)+ABS($B30-P$33)&gt;$F$1,"",ABS($A30-P$32)+ABS($B30-P$33)))</f>
      </c>
      <c r="Q30" s="136">
        <f>IF(ROW(Q30)+COLUMN(Q30)&gt;$AC$1+5,"",IF(ABS($A30-Q$32)+ABS($B30-Q$33)&gt;$F$1,"",ABS($A30-Q$32)+ABS($B30-Q$33)))</f>
      </c>
      <c r="R30" s="136">
        <f>IF(ROW(R30)+COLUMN(R30)&gt;$AC$1+5,"",IF(ABS($A30-R$32)+ABS($B30-R$33)&gt;$F$1,"",ABS($A30-R$32)+ABS($B30-R$33)))</f>
      </c>
      <c r="S30" s="136">
        <f>IF(ROW(S30)+COLUMN(S30)&gt;$AC$1+5,"",IF(ABS($A30-S$32)+ABS($B30-S$33)&gt;$F$1,"",ABS($A30-S$32)+ABS($B30-S$33)))</f>
      </c>
      <c r="T30" s="136">
        <f>IF(ROW(T30)+COLUMN(T30)&gt;$AC$1+5,"",IF(ABS($A30-T$32)+ABS($B30-T$33)&gt;$F$1,"",ABS($A30-T$32)+ABS($B30-T$33)))</f>
      </c>
      <c r="U30" s="136">
        <f>IF(ROW(U30)+COLUMN(U30)&gt;$AC$1+5,"",IF(ABS($A30-U$32)+ABS($B30-U$33)&gt;$F$1,"",ABS($A30-U$32)+ABS($B30-U$33)))</f>
      </c>
      <c r="V30" s="136">
        <f>IF(ROW(V30)+COLUMN(V30)&gt;$AC$1+5,"",IF(ABS($A30-V$32)+ABS($B30-V$33)&gt;$F$1,"",ABS($A30-V$32)+ABS($B30-V$33)))</f>
      </c>
      <c r="W30" s="136">
        <f>IF(ROW(W30)+COLUMN(W30)&gt;$AC$1+5,"",IF(ABS($A30-W$32)+ABS($B30-W$33)&gt;$F$1,"",ABS($A30-W$32)+ABS($B30-W$33)))</f>
      </c>
      <c r="X30" s="136">
        <f>IF(ROW(X30)+COLUMN(X30)&gt;$AC$1+5,"",IF(ABS($A30-X$32)+ABS($B30-X$33)&gt;$F$1,"",ABS($A30-X$32)+ABS($B30-X$33)))</f>
      </c>
      <c r="Y30" s="136">
        <f>IF(ROW(Y30)+COLUMN(Y30)&gt;$AC$1+5,"",IF(ABS($A30-Y$32)+ABS($B30-Y$33)&gt;$F$1,"",ABS($A30-Y$32)+ABS($B30-Y$33)))</f>
      </c>
      <c r="Z30" s="136">
        <f>IF(ROW(Z30)+COLUMN(Z30)&gt;$AC$1+5,"",IF(ABS($A30-Z$32)+ABS($B30-Z$33)&gt;$F$1,"",ABS($A30-Z$32)+ABS($B30-Z$33)))</f>
      </c>
      <c r="AA30" s="136">
        <f>IF(ROW(AA30)+COLUMN(AA30)&gt;$AC$1+5,"",IF(ABS($A30-AA$32)+ABS($B30-AA$33)&gt;$F$1,"",ABS($A30-AA$32)+ABS($B30-AA$33)))</f>
      </c>
      <c r="AB30" s="136">
        <f>IF(ROW(AB30)+COLUMN(AB30)&gt;$AC$1+5,"",IF(ABS($A30-AB$32)+ABS($B30-AB$33)&gt;$F$1,"",ABS($A30-AB$32)+ABS($B30-AB$33)))</f>
      </c>
      <c r="AC30" s="136">
        <f>IF(ROW(AC30)+COLUMN(AC30)&gt;$AC$1+5,"",IF(ABS($A30-AC$32)+ABS($B30-AC$33)&gt;$F$1,"",ABS($A30-AC$32)+ABS($B30-AC$33)))</f>
      </c>
      <c r="AD30" s="136">
        <f>IF(ROW(AD30)+COLUMN(AD30)&gt;$AC$1+5,"",IF(ABS($A30-AD$32)+ABS($B30-AD$33)&gt;$F$1,"",ABS($A30-AD$32)+ABS($B30-AD$33)))</f>
      </c>
      <c r="AE30" s="136">
        <f>IF(ROW(AE30)+COLUMN(AE30)&gt;$AC$1+5,"",IF(ABS($A30-AE$32)+ABS($B30-AE$33)&gt;$F$1,"",ABS($A30-AE$32)+ABS($B30-AE$33)))</f>
      </c>
    </row>
    <row r="31" spans="1:31" ht="12">
      <c r="A31" s="134">
        <f>'Busking Places'!C31</f>
        <v>545026</v>
      </c>
      <c r="B31" s="135">
        <f>'Busking Places'!D31</f>
        <v>258616</v>
      </c>
      <c r="C31" s="9" t="str">
        <f>'Busking Places'!B31</f>
        <v>Sussex Street</v>
      </c>
      <c r="D31" s="136">
        <f>IF(ROW(D31)+COLUMN(D31)&gt;$AC$1+5,"",IF(ABS($A31-D$32)+ABS($B31-D$33)&gt;$F$1,"",ABS($A31-D$32)+ABS($B31-D$33)))</f>
      </c>
      <c r="E31" s="136">
        <f>IF(ROW(E31)+COLUMN(E31)&gt;$AC$1+5,"",IF(ABS($A31-E$32)+ABS($B31-E$33)&gt;$F$1,"",ABS($A31-E$32)+ABS($B31-E$33)))</f>
      </c>
      <c r="F31" s="136">
        <f>IF(ROW(F31)+COLUMN(F31)&gt;$AC$1+5,"",IF(ABS($A31-F$32)+ABS($B31-F$33)&gt;$F$1,"",ABS($A31-F$32)+ABS($B31-F$33)))</f>
      </c>
      <c r="G31" s="136">
        <f>IF(ROW(G31)+COLUMN(G31)&gt;$AC$1+5,"",IF(ABS($A31-G$32)+ABS($B31-G$33)&gt;$F$1,"",ABS($A31-G$32)+ABS($B31-G$33)))</f>
      </c>
      <c r="H31" s="136">
        <f>IF(ROW(H31)+COLUMN(H31)&gt;$AC$1+5,"",IF(ABS($A31-H$32)+ABS($B31-H$33)&gt;$F$1,"",ABS($A31-H$32)+ABS($B31-H$33)))</f>
      </c>
      <c r="I31" s="136">
        <f>IF(ROW(I31)+COLUMN(I31)&gt;$AC$1+5,"",IF(ABS($A31-I$32)+ABS($B31-I$33)&gt;$F$1,"",ABS($A31-I$32)+ABS($B31-I$33)))</f>
      </c>
      <c r="J31" s="136">
        <f>IF(ROW(J31)+COLUMN(J31)&gt;$AC$1+5,"",IF(ABS($A31-J$32)+ABS($B31-J$33)&gt;$F$1,"",ABS($A31-J$32)+ABS($B31-J$33)))</f>
      </c>
      <c r="K31" s="136">
        <f>IF(ROW(K31)+COLUMN(K31)&gt;$AC$1+5,"",IF(ABS($A31-K$32)+ABS($B31-K$33)&gt;$F$1,"",ABS($A31-K$32)+ABS($B31-K$33)))</f>
      </c>
      <c r="L31" s="136">
        <f>IF(ROW(L31)+COLUMN(L31)&gt;$AC$1+5,"",IF(ABS($A31-L$32)+ABS($B31-L$33)&gt;$F$1,"",ABS($A31-L$32)+ABS($B31-L$33)))</f>
      </c>
      <c r="M31" s="136">
        <f>IF(ROW(M31)+COLUMN(M31)&gt;$AC$1+5,"",IF(ABS($A31-M$32)+ABS($B31-M$33)&gt;$F$1,"",ABS($A31-M$32)+ABS($B31-M$33)))</f>
      </c>
      <c r="N31" s="136">
        <f>IF(ROW(N31)+COLUMN(N31)&gt;$AC$1+5,"",IF(ABS($A31-N$32)+ABS($B31-N$33)&gt;$F$1,"",ABS($A31-N$32)+ABS($B31-N$33)))</f>
      </c>
      <c r="O31" s="136">
        <f>IF(ROW(O31)+COLUMN(O31)&gt;$AC$1+5,"",IF(ABS($A31-O$32)+ABS($B31-O$33)&gt;$F$1,"",ABS($A31-O$32)+ABS($B31-O$33)))</f>
      </c>
      <c r="P31" s="136">
        <f>IF(ROW(P31)+COLUMN(P31)&gt;$AC$1+5,"",IF(ABS($A31-P$32)+ABS($B31-P$33)&gt;$F$1,"",ABS($A31-P$32)+ABS($B31-P$33)))</f>
      </c>
      <c r="Q31" s="136">
        <f>IF(ROW(Q31)+COLUMN(Q31)&gt;$AC$1+5,"",IF(ABS($A31-Q$32)+ABS($B31-Q$33)&gt;$F$1,"",ABS($A31-Q$32)+ABS($B31-Q$33)))</f>
      </c>
      <c r="R31" s="136">
        <f>IF(ROW(R31)+COLUMN(R31)&gt;$AC$1+5,"",IF(ABS($A31-R$32)+ABS($B31-R$33)&gt;$F$1,"",ABS($A31-R$32)+ABS($B31-R$33)))</f>
      </c>
      <c r="S31" s="136">
        <f>IF(ROW(S31)+COLUMN(S31)&gt;$AC$1+5,"",IF(ABS($A31-S$32)+ABS($B31-S$33)&gt;$F$1,"",ABS($A31-S$32)+ABS($B31-S$33)))</f>
      </c>
      <c r="T31" s="136">
        <f>IF(ROW(T31)+COLUMN(T31)&gt;$AC$1+5,"",IF(ABS($A31-T$32)+ABS($B31-T$33)&gt;$F$1,"",ABS($A31-T$32)+ABS($B31-T$33)))</f>
      </c>
      <c r="U31" s="136">
        <f>IF(ROW(U31)+COLUMN(U31)&gt;$AC$1+5,"",IF(ABS($A31-U$32)+ABS($B31-U$33)&gt;$F$1,"",ABS($A31-U$32)+ABS($B31-U$33)))</f>
      </c>
      <c r="V31" s="136">
        <f>IF(ROW(V31)+COLUMN(V31)&gt;$AC$1+5,"",IF(ABS($A31-V$32)+ABS($B31-V$33)&gt;$F$1,"",ABS($A31-V$32)+ABS($B31-V$33)))</f>
      </c>
      <c r="W31" s="136">
        <f>IF(ROW(W31)+COLUMN(W31)&gt;$AC$1+5,"",IF(ABS($A31-W$32)+ABS($B31-W$33)&gt;$F$1,"",ABS($A31-W$32)+ABS($B31-W$33)))</f>
      </c>
      <c r="X31" s="136">
        <f>IF(ROW(X31)+COLUMN(X31)&gt;$AC$1+5,"",IF(ABS($A31-X$32)+ABS($B31-X$33)&gt;$F$1,"",ABS($A31-X$32)+ABS($B31-X$33)))</f>
      </c>
      <c r="Y31" s="136">
        <f>IF(ROW(Y31)+COLUMN(Y31)&gt;$AC$1+5,"",IF(ABS($A31-Y$32)+ABS($B31-Y$33)&gt;$F$1,"",ABS($A31-Y$32)+ABS($B31-Y$33)))</f>
      </c>
      <c r="Z31" s="136">
        <f>IF(ROW(Z31)+COLUMN(Z31)&gt;$AC$1+5,"",IF(ABS($A31-Z$32)+ABS($B31-Z$33)&gt;$F$1,"",ABS($A31-Z$32)+ABS($B31-Z$33)))</f>
      </c>
      <c r="AA31" s="136">
        <f>IF(ROW(AA31)+COLUMN(AA31)&gt;$AC$1+5,"",IF(ABS($A31-AA$32)+ABS($B31-AA$33)&gt;$F$1,"",ABS($A31-AA$32)+ABS($B31-AA$33)))</f>
      </c>
      <c r="AB31" s="136">
        <f>IF(ROW(AB31)+COLUMN(AB31)&gt;$AC$1+5,"",IF(ABS($A31-AB$32)+ABS($B31-AB$33)&gt;$F$1,"",ABS($A31-AB$32)+ABS($B31-AB$33)))</f>
      </c>
      <c r="AC31" s="136">
        <f>IF(ROW(AC31)+COLUMN(AC31)&gt;$AC$1+5,"",IF(ABS($A31-AC$32)+ABS($B31-AC$33)&gt;$F$1,"",ABS($A31-AC$32)+ABS($B31-AC$33)))</f>
      </c>
      <c r="AD31" s="136">
        <f>IF(ROW(AD31)+COLUMN(AD31)&gt;$AC$1+5,"",IF(ABS($A31-AD$32)+ABS($B31-AD$33)&gt;$F$1,"",ABS($A31-AD$32)+ABS($B31-AD$33)))</f>
      </c>
      <c r="AE31" s="136">
        <f>IF(ROW(AE31)+COLUMN(AE31)&gt;$AC$1+5,"",IF(ABS($A31-AE$32)+ABS($B31-AE$33)&gt;$F$1,"",ABS($A31-AE$32)+ABS($B31-AE$33)))</f>
      </c>
    </row>
    <row r="32" spans="3:31" ht="12.75" hidden="1">
      <c r="C32" s="140" t="s">
        <v>1008</v>
      </c>
      <c r="D32" s="141">
        <f ca="1">OFFSET($A$31,COLUMN($D32)-COLUMN(D32),0)</f>
        <v>545026</v>
      </c>
      <c r="E32" s="141">
        <f ca="1">OFFSET($A$31,COLUMN($D32)-COLUMN(E32),0)</f>
        <v>545029</v>
      </c>
      <c r="F32" s="141">
        <f ca="1">OFFSET($A$31,COLUMN($D32)-COLUMN(F32),0)</f>
        <v>544832</v>
      </c>
      <c r="G32" s="141">
        <f ca="1">OFFSET($A$31,COLUMN($D32)-COLUMN(G32),0)</f>
        <v>544883</v>
      </c>
      <c r="H32" s="141">
        <f ca="1">OFFSET($A$31,COLUMN($D32)-COLUMN(H32),0)</f>
        <v>544949</v>
      </c>
      <c r="I32" s="141">
        <f ca="1">OFFSET($A$31,COLUMN($D32)-COLUMN(I32),0)</f>
        <v>544915</v>
      </c>
      <c r="J32" s="141">
        <f ca="1">OFFSET($A$31,COLUMN($D32)-COLUMN(J32),0)</f>
        <v>544670</v>
      </c>
      <c r="K32" s="141">
        <f ca="1">OFFSET($A$31,COLUMN($D32)-COLUMN(K32),0)</f>
        <v>544683</v>
      </c>
      <c r="L32" s="141">
        <f ca="1">OFFSET($A$31,COLUMN($D32)-COLUMN(L32),0)</f>
        <v>545342</v>
      </c>
      <c r="M32" s="141">
        <f ca="1">OFFSET($A$31,COLUMN($D32)-COLUMN(M32),0)</f>
        <v>545527</v>
      </c>
      <c r="N32" s="141">
        <f ca="1">OFFSET($A$31,COLUMN($D32)-COLUMN(N32),0)</f>
        <v>545621</v>
      </c>
      <c r="O32" s="141">
        <f ca="1">OFFSET($A$31,COLUMN($D32)-COLUMN(O32),0)</f>
        <v>546016</v>
      </c>
      <c r="P32" s="141">
        <f ca="1">OFFSET($A$31,COLUMN($D32)-COLUMN(P32),0)</f>
        <v>545932</v>
      </c>
      <c r="Q32" s="141">
        <f ca="1">OFFSET($A$31,COLUMN($D32)-COLUMN(Q32),0)</f>
        <v>546169</v>
      </c>
      <c r="R32" s="141">
        <f ca="1">OFFSET($A$31,COLUMN($D32)-COLUMN(R32),0)</f>
        <v>546273</v>
      </c>
      <c r="S32" s="141">
        <f ca="1">OFFSET($A$31,COLUMN($D32)-COLUMN(S32),0)</f>
        <v>546263</v>
      </c>
      <c r="T32" s="141">
        <f ca="1">OFFSET($A$31,COLUMN($D32)-COLUMN(T32),0)</f>
        <v>546288</v>
      </c>
      <c r="U32" s="141">
        <f ca="1">OFFSET($A$31,COLUMN($D32)-COLUMN(U32),0)</f>
        <v>545875</v>
      </c>
      <c r="V32" s="141">
        <f ca="1">OFFSET($A$31,COLUMN($D32)-COLUMN(V32),0)</f>
        <v>545851</v>
      </c>
      <c r="W32" s="141">
        <f ca="1">OFFSET($A$31,COLUMN($D32)-COLUMN(W32),0)</f>
        <v>545619</v>
      </c>
      <c r="X32" s="141">
        <f ca="1">OFFSET($A$31,COLUMN($D32)-COLUMN(X32),0)</f>
        <v>545740</v>
      </c>
      <c r="Y32" s="141">
        <f ca="1">OFFSET($A$31,COLUMN($D32)-COLUMN(Y32),0)</f>
        <v>545615</v>
      </c>
      <c r="Z32" s="141">
        <f ca="1">OFFSET($A$31,COLUMN($D32)-COLUMN(Z32),0)</f>
        <v>545311</v>
      </c>
      <c r="AA32" s="141">
        <f ca="1">OFFSET($A$31,COLUMN($D32)-COLUMN(AA32),0)</f>
        <v>545347</v>
      </c>
      <c r="AB32" s="141">
        <f ca="1">OFFSET($A$31,COLUMN($D32)-COLUMN(AB32),0)</f>
        <v>545455</v>
      </c>
      <c r="AC32" s="141">
        <f ca="1">OFFSET($A$31,COLUMN($D32)-COLUMN(AC32),0)</f>
        <v>545465</v>
      </c>
      <c r="AD32" s="141">
        <f ca="1">OFFSET($A$31,COLUMN($D32)-COLUMN(AD32),0)</f>
        <v>544957</v>
      </c>
      <c r="AE32" s="141">
        <f ca="1">OFFSET($A$31,COLUMN($D32)-COLUMN(AE32),0)</f>
        <v>544920</v>
      </c>
    </row>
    <row r="33" spans="3:31" ht="12.75" hidden="1">
      <c r="C33" s="142" t="s">
        <v>1009</v>
      </c>
      <c r="D33" s="141">
        <f ca="1">OFFSET($B$31,COLUMN($D33)-COLUMN(D33),0)</f>
        <v>258616</v>
      </c>
      <c r="E33" s="141">
        <f ca="1">OFFSET($B$31,COLUMN($D33)-COLUMN(E33),0)</f>
        <v>258504</v>
      </c>
      <c r="F33" s="141">
        <f ca="1">OFFSET($B$31,COLUMN($D33)-COLUMN(F33),0)</f>
        <v>258452</v>
      </c>
      <c r="G33" s="141">
        <f ca="1">OFFSET($B$31,COLUMN($D33)-COLUMN(G33),0)</f>
        <v>258390</v>
      </c>
      <c r="H33" s="141">
        <f ca="1">OFFSET($B$31,COLUMN($D33)-COLUMN(H33),0)</f>
        <v>258388</v>
      </c>
      <c r="I33" s="141">
        <f ca="1">OFFSET($B$31,COLUMN($D33)-COLUMN(I33),0)</f>
        <v>258426</v>
      </c>
      <c r="J33" s="141">
        <f ca="1">OFFSET($B$31,COLUMN($D33)-COLUMN(J33),0)</f>
        <v>258065</v>
      </c>
      <c r="K33" s="141">
        <f ca="1">OFFSET($B$31,COLUMN($D33)-COLUMN(K33),0)</f>
        <v>257994</v>
      </c>
      <c r="L33" s="141">
        <f ca="1">OFFSET($B$31,COLUMN($D33)-COLUMN(L33),0)</f>
        <v>258096</v>
      </c>
      <c r="M33" s="141">
        <f ca="1">OFFSET($B$31,COLUMN($D33)-COLUMN(M33),0)</f>
        <v>257887</v>
      </c>
      <c r="N33" s="141">
        <f ca="1">OFFSET($B$31,COLUMN($D33)-COLUMN(N33),0)</f>
        <v>257910</v>
      </c>
      <c r="O33" s="141">
        <f ca="1">OFFSET($B$31,COLUMN($D33)-COLUMN(O33),0)</f>
        <v>257811</v>
      </c>
      <c r="P33" s="141">
        <f ca="1">OFFSET($B$31,COLUMN($D33)-COLUMN(P33),0)</f>
        <v>257874</v>
      </c>
      <c r="Q33" s="141">
        <f ca="1">OFFSET($B$31,COLUMN($D33)-COLUMN(Q33),0)</f>
        <v>257941</v>
      </c>
      <c r="R33" s="141">
        <f ca="1">OFFSET($B$31,COLUMN($D33)-COLUMN(R33),0)</f>
        <v>257868</v>
      </c>
      <c r="S33" s="141">
        <f ca="1">OFFSET($B$31,COLUMN($D33)-COLUMN(S33),0)</f>
        <v>258183</v>
      </c>
      <c r="T33" s="141">
        <f ca="1">OFFSET($B$31,COLUMN($D33)-COLUMN(T33),0)</f>
        <v>258334</v>
      </c>
      <c r="U33" s="141">
        <f ca="1">OFFSET($B$31,COLUMN($D33)-COLUMN(U33),0)</f>
        <v>258246</v>
      </c>
      <c r="V33" s="141">
        <f ca="1">OFFSET($B$31,COLUMN($D33)-COLUMN(V33),0)</f>
        <v>258405</v>
      </c>
      <c r="W33" s="141">
        <f ca="1">OFFSET($B$31,COLUMN($D33)-COLUMN(W33),0)</f>
        <v>258449</v>
      </c>
      <c r="X33" s="141">
        <f ca="1">OFFSET($B$31,COLUMN($D33)-COLUMN(X33),0)</f>
        <v>258641</v>
      </c>
      <c r="Y33" s="141">
        <f ca="1">OFFSET($B$31,COLUMN($D33)-COLUMN(Y33),0)</f>
        <v>258633</v>
      </c>
      <c r="Z33" s="141">
        <f ca="1">OFFSET($B$31,COLUMN($D33)-COLUMN(Z33),0)</f>
        <v>258552</v>
      </c>
      <c r="AA33" s="141">
        <f ca="1">OFFSET($B$31,COLUMN($D33)-COLUMN(AA33),0)</f>
        <v>258677</v>
      </c>
      <c r="AB33" s="141">
        <f ca="1">OFFSET($B$31,COLUMN($D33)-COLUMN(AB33),0)</f>
        <v>258838</v>
      </c>
      <c r="AC33" s="141">
        <f ca="1">OFFSET($B$31,COLUMN($D33)-COLUMN(AC33),0)</f>
        <v>259268</v>
      </c>
      <c r="AD33" s="141">
        <f ca="1">OFFSET($B$31,COLUMN($D33)-COLUMN(AD33),0)</f>
        <v>259215</v>
      </c>
      <c r="AE33" s="141">
        <f ca="1">OFFSET($B$31,COLUMN($D33)-COLUMN(AE33),0)</f>
        <v>258938</v>
      </c>
    </row>
  </sheetData>
  <printOptions horizontalCentered="1" verticalCentered="1"/>
  <pageMargins left="0.4722222222222222" right="0.4722222222222222" top="0.9840277777777777" bottom="0.7875" header="0.5118055555555555" footer="0.5118055555555555"/>
  <pageSetup horizontalDpi="300" verticalDpi="300" orientation="landscape" paperSize="9"/>
  <headerFooter alignWithMargins="0">
    <oddHeader>&amp;L&amp;"Monotype Corsiva,Regular"&amp;16Joint Morris Organisations
The Morris Ring&amp;C&amp;"Monotype Corsiva,Regular"&amp;16&amp;A&amp;R&amp;"Monotype Corsiva,Regular"&amp;16Cambridge Morris Men</oddHeader>
    <oddFooter>&amp;L&amp;F&amp;Cpage &amp;P of &amp;N&amp;R&amp;T on &amp;D</oddFooter>
  </headerFooter>
</worksheet>
</file>

<file path=xl/worksheets/sheet11.xml><?xml version="1.0" encoding="utf-8"?>
<worksheet xmlns="http://schemas.openxmlformats.org/spreadsheetml/2006/main" xmlns:r="http://schemas.openxmlformats.org/officeDocument/2006/relationships">
  <dimension ref="A1:X42"/>
  <sheetViews>
    <sheetView zoomScale="150" zoomScaleNormal="150" workbookViewId="0" topLeftCell="A1">
      <selection activeCell="A1" sqref="A1"/>
    </sheetView>
  </sheetViews>
  <sheetFormatPr defaultColWidth="9.140625" defaultRowHeight="12.75"/>
  <cols>
    <col min="1" max="1" width="18.00390625" style="0" customWidth="1"/>
    <col min="3" max="3" width="9.140625" style="143" customWidth="1"/>
    <col min="8" max="8" width="9.140625" style="143" customWidth="1"/>
    <col min="11" max="22" width="2.7109375" style="0" customWidth="1"/>
  </cols>
  <sheetData>
    <row r="1" spans="1:9" s="144" customFormat="1" ht="10.5" customHeight="1">
      <c r="A1" s="144" t="s">
        <v>263</v>
      </c>
      <c r="B1" s="145" t="s">
        <v>906</v>
      </c>
      <c r="C1" s="146" t="s">
        <v>907</v>
      </c>
      <c r="D1" s="145" t="s">
        <v>906</v>
      </c>
      <c r="E1" s="144" t="s">
        <v>907</v>
      </c>
      <c r="F1" s="144" t="s">
        <v>1010</v>
      </c>
      <c r="G1" s="101">
        <v>500</v>
      </c>
      <c r="H1" s="146" t="s">
        <v>1011</v>
      </c>
      <c r="I1" s="144" t="s">
        <v>1012</v>
      </c>
    </row>
    <row r="2" spans="1:9" ht="10.5" customHeight="1">
      <c r="A2" s="136" t="str">
        <f>'Busking Places'!B3</f>
        <v>Quayside</v>
      </c>
      <c r="B2" s="136">
        <f>'Busking Places'!C3</f>
        <v>544762</v>
      </c>
      <c r="C2" s="147">
        <f>'Busking Places'!D3</f>
        <v>258983</v>
      </c>
      <c r="D2" s="136">
        <f>B2-VLOOKUP("Gt St Mary's",$A$2:$C$31,2,FALSE)</f>
        <v>-70</v>
      </c>
      <c r="E2" s="147">
        <f>C2-VLOOKUP("Gt St Mary's",$A$2:$C$31,3,FALSE)</f>
        <v>531</v>
      </c>
      <c r="F2" s="144" t="s">
        <v>1013</v>
      </c>
      <c r="G2">
        <v>0</v>
      </c>
      <c r="H2" s="1">
        <v>10</v>
      </c>
      <c r="I2" t="s">
        <v>1014</v>
      </c>
    </row>
    <row r="3" spans="1:8" ht="10.5" customHeight="1">
      <c r="A3" s="136" t="str">
        <f>'Busking Places'!B4</f>
        <v>The Maypole</v>
      </c>
      <c r="B3" s="136">
        <f>'Busking Places'!C4</f>
        <v>544920</v>
      </c>
      <c r="C3" s="147">
        <f>'Busking Places'!D4</f>
        <v>258938</v>
      </c>
      <c r="D3" s="136">
        <f>B3-VLOOKUP("Gt St Mary's",$A$2:$C$31,2,FALSE)</f>
        <v>88</v>
      </c>
      <c r="E3" s="147">
        <f>C3-VLOOKUP("Gt St Mary's",$A$2:$C$31,3,FALSE)</f>
        <v>486</v>
      </c>
      <c r="F3" s="144" t="s">
        <v>1015</v>
      </c>
      <c r="G3">
        <v>500</v>
      </c>
      <c r="H3" s="128" t="s">
        <v>1016</v>
      </c>
    </row>
    <row r="4" spans="1:10" s="152" customFormat="1" ht="10.5" customHeight="1">
      <c r="A4" s="136" t="str">
        <f>'Busking Places'!B5</f>
        <v>Jesus Green</v>
      </c>
      <c r="B4" s="136">
        <f>'Busking Places'!C5</f>
        <v>544957</v>
      </c>
      <c r="C4" s="147">
        <f>'Busking Places'!D5</f>
        <v>259215</v>
      </c>
      <c r="D4" s="148">
        <f>B4-VLOOKUP("Gt St Mary's",$A$2:$C$31,2,FALSE)</f>
        <v>125</v>
      </c>
      <c r="E4" s="149">
        <f>C4-VLOOKUP("Gt St Mary's",$A$2:$C$31,3,FALSE)</f>
        <v>763</v>
      </c>
      <c r="F4" s="150" t="s">
        <v>1017</v>
      </c>
      <c r="G4" s="150" t="s">
        <v>906</v>
      </c>
      <c r="H4" s="151" t="s">
        <v>907</v>
      </c>
      <c r="I4" s="150" t="s">
        <v>906</v>
      </c>
      <c r="J4" s="151" t="s">
        <v>907</v>
      </c>
    </row>
    <row r="5" spans="1:10" s="152" customFormat="1" ht="10.5" customHeight="1">
      <c r="A5" s="136" t="str">
        <f>'Busking Places'!B6</f>
        <v>Fort St George</v>
      </c>
      <c r="B5" s="136">
        <f>'Busking Places'!C6</f>
        <v>545465</v>
      </c>
      <c r="C5" s="147">
        <f>'Busking Places'!D6</f>
        <v>259268</v>
      </c>
      <c r="D5" s="148">
        <f>B5-VLOOKUP("Gt St Mary's",$A$2:$C$31,2,FALSE)</f>
        <v>633</v>
      </c>
      <c r="E5" s="149">
        <f>C5-VLOOKUP("Gt St Mary's",$A$2:$C$31,3,FALSE)</f>
        <v>816</v>
      </c>
      <c r="F5" s="152">
        <v>0</v>
      </c>
      <c r="G5" s="153">
        <f>G$1+G$3*COS(F5/180*PI())</f>
        <v>1000</v>
      </c>
      <c r="H5" s="154">
        <f>G$2+G$3*SIN(F5/180*PI())</f>
        <v>0</v>
      </c>
      <c r="I5" s="148">
        <v>545342</v>
      </c>
      <c r="J5" s="149">
        <v>258096</v>
      </c>
    </row>
    <row r="6" spans="1:10" s="152" customFormat="1" ht="10.5" customHeight="1">
      <c r="A6" s="148" t="str">
        <f>'Busking Places'!B7</f>
        <v>Butt Green</v>
      </c>
      <c r="B6" s="148">
        <f>'Busking Places'!C7</f>
        <v>545455</v>
      </c>
      <c r="C6" s="149">
        <f>'Busking Places'!D7</f>
        <v>258838</v>
      </c>
      <c r="D6" s="148">
        <f>B6-VLOOKUP("Gt St Mary's",$A$2:$C$31,2,FALSE)</f>
        <v>623</v>
      </c>
      <c r="E6" s="149">
        <f>C6-VLOOKUP("Gt St Mary's",$A$2:$C$31,3,FALSE)</f>
        <v>386</v>
      </c>
      <c r="F6" s="152">
        <f>F5+H$2</f>
        <v>10</v>
      </c>
      <c r="G6" s="153">
        <f>G$1+G$3*COS(F6/180*PI())</f>
        <v>992.403876506104</v>
      </c>
      <c r="H6" s="154">
        <f>G$2+G$3*SIN(F6/180*PI())</f>
        <v>86.82408883346517</v>
      </c>
      <c r="I6" s="155">
        <v>545476</v>
      </c>
      <c r="J6" s="156">
        <v>258326</v>
      </c>
    </row>
    <row r="7" spans="1:10" s="152" customFormat="1" ht="10.5" customHeight="1">
      <c r="A7" s="148" t="str">
        <f>'Busking Places'!B8</f>
        <v>Pike's Walk</v>
      </c>
      <c r="B7" s="148">
        <f>'Busking Places'!C8</f>
        <v>545347</v>
      </c>
      <c r="C7" s="149">
        <f>'Busking Places'!D8</f>
        <v>258677</v>
      </c>
      <c r="D7" s="148">
        <f>B7-VLOOKUP("Gt St Mary's",$A$2:$C$31,2,FALSE)</f>
        <v>515</v>
      </c>
      <c r="E7" s="149">
        <f>C7-VLOOKUP("Gt St Mary's",$A$2:$C$31,3,FALSE)</f>
        <v>225</v>
      </c>
      <c r="F7" s="152">
        <f>F6+H$2</f>
        <v>20</v>
      </c>
      <c r="G7" s="153">
        <f>G$1+G$3*COS(F7/180*PI())</f>
        <v>969.8463103929541</v>
      </c>
      <c r="H7" s="154">
        <f>G$2+G$3*SIN(F7/180*PI())</f>
        <v>171.01007166283435</v>
      </c>
      <c r="I7" s="157">
        <v>545718</v>
      </c>
      <c r="J7" s="158">
        <v>258167</v>
      </c>
    </row>
    <row r="8" spans="1:10" s="152" customFormat="1" ht="10.5" customHeight="1">
      <c r="A8" s="148" t="str">
        <f>'Busking Places'!B9</f>
        <v>Christ's Pieces</v>
      </c>
      <c r="B8" s="148">
        <f>'Busking Places'!C9</f>
        <v>545311</v>
      </c>
      <c r="C8" s="149">
        <f>'Busking Places'!D9</f>
        <v>258552</v>
      </c>
      <c r="D8" s="148">
        <f>B8-VLOOKUP("Gt St Mary's",$A$2:$C$31,2,FALSE)</f>
        <v>479</v>
      </c>
      <c r="E8" s="149">
        <f>C8-VLOOKUP("Gt St Mary's",$A$2:$C$31,3,FALSE)</f>
        <v>100</v>
      </c>
      <c r="F8" s="152">
        <f>F7+H$2</f>
        <v>30</v>
      </c>
      <c r="G8" s="153">
        <f>G$1+G$3*COS(F8/180*PI())</f>
        <v>933.0127018922194</v>
      </c>
      <c r="H8" s="154">
        <f>G$2+G$3*SIN(F8/180*PI())</f>
        <v>249.99999999999997</v>
      </c>
      <c r="I8" s="148">
        <v>545527</v>
      </c>
      <c r="J8" s="149">
        <v>257887</v>
      </c>
    </row>
    <row r="9" spans="1:10" s="152" customFormat="1" ht="10.5" customHeight="1">
      <c r="A9" s="148" t="str">
        <f>'Busking Places'!B10</f>
        <v>Fitzroy St</v>
      </c>
      <c r="B9" s="148">
        <f>'Busking Places'!C10</f>
        <v>545615</v>
      </c>
      <c r="C9" s="149">
        <f>'Busking Places'!D10</f>
        <v>258633</v>
      </c>
      <c r="D9" s="148">
        <f>B9-VLOOKUP("Gt St Mary's",$A$2:$C$31,2,FALSE)</f>
        <v>783</v>
      </c>
      <c r="E9" s="149">
        <f>C9-VLOOKUP("Gt St Mary's",$A$2:$C$31,3,FALSE)</f>
        <v>181</v>
      </c>
      <c r="F9" s="152">
        <f>F8+H$2</f>
        <v>40</v>
      </c>
      <c r="G9" s="153">
        <f>G$1+G$3*COS(F9/180*PI())</f>
        <v>883.022221559489</v>
      </c>
      <c r="H9" s="154">
        <f>G$2+G$3*SIN(F9/180*PI())</f>
        <v>321.3938048432696</v>
      </c>
      <c r="I9" s="148">
        <f>I5</f>
        <v>545342</v>
      </c>
      <c r="J9" s="149">
        <f>J5</f>
        <v>258096</v>
      </c>
    </row>
    <row r="10" spans="1:10" s="152" customFormat="1" ht="10.5" customHeight="1">
      <c r="A10" s="148" t="str">
        <f>'Busking Places'!B11</f>
        <v>Burleigh St.</v>
      </c>
      <c r="B10" s="148">
        <f>'Busking Places'!C11</f>
        <v>545740</v>
      </c>
      <c r="C10" s="149">
        <f>'Busking Places'!D11</f>
        <v>258641</v>
      </c>
      <c r="D10" s="148">
        <f>B10-VLOOKUP("Gt St Mary's",$A$2:$C$31,2,FALSE)</f>
        <v>908</v>
      </c>
      <c r="E10" s="149">
        <f>C10-VLOOKUP("Gt St Mary's",$A$2:$C$31,3,FALSE)</f>
        <v>189</v>
      </c>
      <c r="F10" s="152">
        <f>F9+H$2</f>
        <v>50</v>
      </c>
      <c r="G10" s="153">
        <f>G$1+G$3*COS(F10/180*PI())</f>
        <v>821.3938048432697</v>
      </c>
      <c r="H10" s="154">
        <f>G$2+G$3*SIN(F10/180*PI())</f>
        <v>383.022221559489</v>
      </c>
      <c r="I10" s="148">
        <f>I7</f>
        <v>545718</v>
      </c>
      <c r="J10" s="149">
        <f>J7</f>
        <v>258167</v>
      </c>
    </row>
    <row r="11" spans="1:10" s="152" customFormat="1" ht="10.5" customHeight="1">
      <c r="A11" s="148" t="str">
        <f>'Busking Places'!B12</f>
        <v>Eden Street</v>
      </c>
      <c r="B11" s="148">
        <f>'Busking Places'!C12</f>
        <v>545619</v>
      </c>
      <c r="C11" s="149">
        <f>'Busking Places'!D12</f>
        <v>258449</v>
      </c>
      <c r="D11" s="148">
        <f>B11-VLOOKUP("Gt St Mary's",$A$2:$C$31,2,FALSE)</f>
        <v>787</v>
      </c>
      <c r="E11" s="149">
        <f>C11-VLOOKUP("Gt St Mary's",$A$2:$C$31,3,FALSE)</f>
        <v>-3</v>
      </c>
      <c r="F11" s="152">
        <f>F10+H$2</f>
        <v>60</v>
      </c>
      <c r="G11" s="153">
        <f>G$1+G$3*COS(F11/180*PI())</f>
        <v>750</v>
      </c>
      <c r="H11" s="154">
        <f>G$2+G$3*SIN(F11/180*PI())</f>
        <v>433.0127018922193</v>
      </c>
      <c r="I11" s="148">
        <f>I8</f>
        <v>545527</v>
      </c>
      <c r="J11" s="149">
        <f>J8</f>
        <v>257887</v>
      </c>
    </row>
    <row r="12" spans="1:10" s="152" customFormat="1" ht="10.5" customHeight="1">
      <c r="A12" s="148" t="str">
        <f>'Busking Places'!B13</f>
        <v>The Tram Depot</v>
      </c>
      <c r="B12" s="148">
        <f>'Busking Places'!C13</f>
        <v>545851</v>
      </c>
      <c r="C12" s="149">
        <f>'Busking Places'!D13</f>
        <v>258405</v>
      </c>
      <c r="D12" s="148">
        <f>B12-VLOOKUP("Gt St Mary's",$A$2:$C$31,2,FALSE)</f>
        <v>1019</v>
      </c>
      <c r="E12" s="149">
        <f>C12-VLOOKUP("Gt St Mary's",$A$2:$C$31,3,FALSE)</f>
        <v>-47</v>
      </c>
      <c r="F12" s="152">
        <f>F11+H$2</f>
        <v>70</v>
      </c>
      <c r="G12" s="153">
        <f>G$1+G$3*COS(F12/180*PI())</f>
        <v>671.0100716628344</v>
      </c>
      <c r="H12" s="154">
        <f>G$2+G$3*SIN(F12/180*PI())</f>
        <v>469.84631039295414</v>
      </c>
      <c r="I12" s="148">
        <v>545542</v>
      </c>
      <c r="J12" s="149">
        <f>(I12-I6)/(I7-I6)*(J7-J6)+J6</f>
        <v>258282.63636363635</v>
      </c>
    </row>
    <row r="13" spans="1:10" s="152" customFormat="1" ht="10.5" customHeight="1">
      <c r="A13" s="148" t="str">
        <f>'Busking Places'!B14</f>
        <v>Bradmore Court</v>
      </c>
      <c r="B13" s="148">
        <f>'Busking Places'!C14</f>
        <v>545875</v>
      </c>
      <c r="C13" s="149">
        <f>'Busking Places'!D14</f>
        <v>258246</v>
      </c>
      <c r="D13" s="148">
        <f>B13-VLOOKUP("Gt St Mary's",$A$2:$C$31,2,FALSE)</f>
        <v>1043</v>
      </c>
      <c r="E13" s="149">
        <f>C13-VLOOKUP("Gt St Mary's",$A$2:$C$31,3,FALSE)</f>
        <v>-206</v>
      </c>
      <c r="F13" s="152">
        <f>F12+H$2</f>
        <v>80</v>
      </c>
      <c r="G13" s="153">
        <f>G$1+G$3*COS(F13/180*PI())</f>
        <v>586.8240888334652</v>
      </c>
      <c r="H13" s="154">
        <f>G$2+G$3*SIN(F13/180*PI())</f>
        <v>492.403876506104</v>
      </c>
      <c r="I13" s="148"/>
      <c r="J13" s="149"/>
    </row>
    <row r="14" spans="1:10" s="152" customFormat="1" ht="10.5" customHeight="1">
      <c r="A14" s="148" t="str">
        <f>'Busking Places'!B15</f>
        <v>Alexandra Arms</v>
      </c>
      <c r="B14" s="148">
        <f>'Busking Places'!C15</f>
        <v>546288</v>
      </c>
      <c r="C14" s="149">
        <f>'Busking Places'!D15</f>
        <v>258334</v>
      </c>
      <c r="D14" s="148">
        <f>B14-VLOOKUP("Gt St Mary's",$A$2:$C$31,2,FALSE)</f>
        <v>1456</v>
      </c>
      <c r="E14" s="149">
        <f>C14-VLOOKUP("Gt St Mary's",$A$2:$C$31,3,FALSE)</f>
        <v>-118</v>
      </c>
      <c r="F14" s="152">
        <f>F13+H$2</f>
        <v>90</v>
      </c>
      <c r="G14" s="153">
        <f>G$1+G$3*COS(F14/180*PI())</f>
        <v>500.00000000000006</v>
      </c>
      <c r="H14" s="154">
        <f>G$2+G$3*SIN(F14/180*PI())</f>
        <v>500</v>
      </c>
      <c r="I14" s="148"/>
      <c r="J14" s="149"/>
    </row>
    <row r="15" spans="1:10" s="152" customFormat="1" ht="10.5" customHeight="1">
      <c r="A15" s="148" t="str">
        <f>'Busking Places'!B16</f>
        <v>The Cambridge Blue</v>
      </c>
      <c r="B15" s="148">
        <f>'Busking Places'!C16</f>
        <v>546263</v>
      </c>
      <c r="C15" s="149">
        <f>'Busking Places'!D16</f>
        <v>258183</v>
      </c>
      <c r="D15" s="148">
        <f>B15-VLOOKUP("Gt St Mary's",$A$2:$C$31,2,FALSE)</f>
        <v>1431</v>
      </c>
      <c r="E15" s="149">
        <f>C15-VLOOKUP("Gt St Mary's",$A$2:$C$31,3,FALSE)</f>
        <v>-269</v>
      </c>
      <c r="F15" s="152">
        <f>F14+H$2</f>
        <v>100</v>
      </c>
      <c r="G15" s="153">
        <f>G$1+G$3*COS(F15/180*PI())</f>
        <v>413.17591116653483</v>
      </c>
      <c r="H15" s="154">
        <f>G$2+G$3*SIN(F15/180*PI())</f>
        <v>492.403876506104</v>
      </c>
      <c r="I15" s="148"/>
      <c r="J15" s="149"/>
    </row>
    <row r="16" spans="1:10" s="152" customFormat="1" ht="10.5" customHeight="1">
      <c r="A16" s="148" t="str">
        <f>'Busking Places'!B17</f>
        <v>opposite Al-Amin</v>
      </c>
      <c r="B16" s="148">
        <f>'Busking Places'!C17</f>
        <v>546273</v>
      </c>
      <c r="C16" s="149">
        <f>'Busking Places'!D17</f>
        <v>257868</v>
      </c>
      <c r="D16" s="148">
        <f>B16-VLOOKUP("Gt St Mary's",$A$2:$C$31,2,FALSE)</f>
        <v>1441</v>
      </c>
      <c r="E16" s="149">
        <f>C16-VLOOKUP("Gt St Mary's",$A$2:$C$31,3,FALSE)</f>
        <v>-584</v>
      </c>
      <c r="F16" s="152">
        <f>F15+H$2</f>
        <v>110</v>
      </c>
      <c r="G16" s="153">
        <f>G$1+G$3*COS(F16/180*PI())</f>
        <v>328.9899283371657</v>
      </c>
      <c r="H16" s="154">
        <f>G$2+G$3*SIN(F16/180*PI())</f>
        <v>469.8463103929542</v>
      </c>
      <c r="I16" s="148"/>
      <c r="J16" s="149"/>
    </row>
    <row r="17" spans="1:10" s="152" customFormat="1" ht="10.5" customHeight="1">
      <c r="A17" s="148" t="str">
        <f>'Busking Places'!B18</f>
        <v>Ditchburn Place</v>
      </c>
      <c r="B17" s="148">
        <f>'Busking Places'!C18</f>
        <v>546169</v>
      </c>
      <c r="C17" s="149">
        <f>'Busking Places'!D18</f>
        <v>257941</v>
      </c>
      <c r="D17" s="148">
        <f>B17-VLOOKUP("Gt St Mary's",$A$2:$C$31,2,FALSE)</f>
        <v>1337</v>
      </c>
      <c r="E17" s="149">
        <f>C17-VLOOKUP("Gt St Mary's",$A$2:$C$31,3,FALSE)</f>
        <v>-511</v>
      </c>
      <c r="F17" s="152">
        <f>F16+H$2</f>
        <v>120</v>
      </c>
      <c r="G17" s="153">
        <f>G$1+G$3*COS(F17/180*PI())</f>
        <v>250.0000000000001</v>
      </c>
      <c r="H17" s="154">
        <f>G$2+G$3*SIN(F17/180*PI())</f>
        <v>433.01270189221935</v>
      </c>
      <c r="J17" s="149"/>
    </row>
    <row r="18" spans="1:10" s="152" customFormat="1" ht="10.5" customHeight="1">
      <c r="A18" s="148" t="str">
        <f>'Busking Places'!B19</f>
        <v>Covent Garden</v>
      </c>
      <c r="B18" s="148">
        <f>'Busking Places'!C19</f>
        <v>545932</v>
      </c>
      <c r="C18" s="149">
        <f>'Busking Places'!D19</f>
        <v>257874</v>
      </c>
      <c r="D18" s="148">
        <f>B18-VLOOKUP("Gt St Mary's",$A$2:$C$31,2,FALSE)</f>
        <v>1100</v>
      </c>
      <c r="E18" s="149">
        <f>C18-VLOOKUP("Gt St Mary's",$A$2:$C$31,3,FALSE)</f>
        <v>-578</v>
      </c>
      <c r="F18" s="152">
        <f>F17+H$2</f>
        <v>130</v>
      </c>
      <c r="G18" s="153">
        <f>G$1+G$3*COS(F18/180*PI())</f>
        <v>178.60619515673034</v>
      </c>
      <c r="H18" s="154">
        <f>G$2+G$3*SIN(F18/180*PI())</f>
        <v>383.022221559489</v>
      </c>
      <c r="J18" s="149"/>
    </row>
    <row r="19" spans="1:10" s="152" customFormat="1" ht="10.5" customHeight="1">
      <c r="A19" s="148" t="str">
        <f>'Busking Places'!B20</f>
        <v>Mawson Road</v>
      </c>
      <c r="B19" s="148">
        <f>'Busking Places'!C20</f>
        <v>546016</v>
      </c>
      <c r="C19" s="149">
        <f>'Busking Places'!D20</f>
        <v>257811</v>
      </c>
      <c r="D19" s="148">
        <f>B19-VLOOKUP("Gt St Mary's",$A$2:$C$31,2,FALSE)</f>
        <v>1184</v>
      </c>
      <c r="E19" s="149">
        <f>C19-VLOOKUP("Gt St Mary's",$A$2:$C$31,3,FALSE)</f>
        <v>-641</v>
      </c>
      <c r="F19" s="152">
        <f>F18+H$2</f>
        <v>140</v>
      </c>
      <c r="G19" s="153">
        <f>G$1+G$3*COS(F19/180*PI())</f>
        <v>116.97777844051103</v>
      </c>
      <c r="H19" s="154">
        <f>G$2+G$3*SIN(F19/180*PI())</f>
        <v>321.3938048432697</v>
      </c>
      <c r="J19" s="149"/>
    </row>
    <row r="20" spans="1:10" s="152" customFormat="1" ht="10.5" customHeight="1">
      <c r="A20" s="148" t="str">
        <f>'Busking Places'!B21</f>
        <v>Gresham Road</v>
      </c>
      <c r="B20" s="148">
        <f>'Busking Places'!C21</f>
        <v>545621</v>
      </c>
      <c r="C20" s="149">
        <f>'Busking Places'!D21</f>
        <v>257910</v>
      </c>
      <c r="D20" s="148">
        <f>B20-VLOOKUP("Gt St Mary's",$A$2:$C$31,2,FALSE)</f>
        <v>789</v>
      </c>
      <c r="E20" s="149">
        <f>C20-VLOOKUP("Gt St Mary's",$A$2:$C$31,3,FALSE)</f>
        <v>-542</v>
      </c>
      <c r="F20" s="152">
        <f>F19+H$2</f>
        <v>150</v>
      </c>
      <c r="G20" s="153">
        <f>G$1+G$3*COS(F20/180*PI())</f>
        <v>66.98729810778065</v>
      </c>
      <c r="H20" s="154">
        <f>G$2+G$3*SIN(F20/180*PI())</f>
        <v>249.99999999999997</v>
      </c>
      <c r="J20" s="149"/>
    </row>
    <row r="21" spans="1:10" s="152" customFormat="1" ht="10.5" customHeight="1">
      <c r="A21" s="148" t="str">
        <f>'Busking Places'!B22</f>
        <v>Regent Terrace, S</v>
      </c>
      <c r="B21" s="148">
        <f>'Busking Places'!C22</f>
        <v>545527</v>
      </c>
      <c r="C21" s="149">
        <f>'Busking Places'!D22</f>
        <v>257887</v>
      </c>
      <c r="D21" s="148">
        <f>B21-VLOOKUP("Gt St Mary's",$A$2:$C$31,2,FALSE)</f>
        <v>695</v>
      </c>
      <c r="E21" s="149">
        <f>C21-VLOOKUP("Gt St Mary's",$A$2:$C$31,3,FALSE)</f>
        <v>-565</v>
      </c>
      <c r="F21" s="152">
        <f>F20+H$2</f>
        <v>160</v>
      </c>
      <c r="G21" s="153">
        <f>G$1+G$3*COS(F21/180*PI())</f>
        <v>30.153689607045862</v>
      </c>
      <c r="H21" s="154">
        <f>G$2+G$3*SIN(F21/180*PI())</f>
        <v>171.01007166283443</v>
      </c>
      <c r="J21" s="149"/>
    </row>
    <row r="22" spans="1:10" s="152" customFormat="1" ht="10.5" customHeight="1">
      <c r="A22" s="148" t="str">
        <f>'Busking Places'!B23</f>
        <v>Regent Terrace, N</v>
      </c>
      <c r="B22" s="148">
        <f>'Busking Places'!C23</f>
        <v>545342</v>
      </c>
      <c r="C22" s="149">
        <f>'Busking Places'!D23</f>
        <v>258096</v>
      </c>
      <c r="D22" s="148">
        <f>B22-VLOOKUP("Gt St Mary's",$A$2:$C$31,2,FALSE)</f>
        <v>510</v>
      </c>
      <c r="E22" s="149">
        <f>C22-VLOOKUP("Gt St Mary's",$A$2:$C$31,3,FALSE)</f>
        <v>-356</v>
      </c>
      <c r="F22" s="152">
        <f>F21+H$2</f>
        <v>170</v>
      </c>
      <c r="G22" s="153">
        <f>G$1+G$3*COS(F22/180*PI())</f>
        <v>7.596123493896016</v>
      </c>
      <c r="H22" s="154">
        <f>G$2+G$3*SIN(F22/180*PI())</f>
        <v>86.82408883346534</v>
      </c>
      <c r="J22" s="149"/>
    </row>
    <row r="23" spans="1:10" s="152" customFormat="1" ht="10.5" customHeight="1">
      <c r="A23" s="148" t="str">
        <f>'Busking Places'!B24</f>
        <v>Laundress Green</v>
      </c>
      <c r="B23" s="148">
        <f>'Busking Places'!C24</f>
        <v>544683</v>
      </c>
      <c r="C23" s="149">
        <f>'Busking Places'!D24</f>
        <v>257994</v>
      </c>
      <c r="D23" s="148">
        <f>B23-VLOOKUP("Gt St Mary's",$A$2:$C$31,2,FALSE)</f>
        <v>-149</v>
      </c>
      <c r="E23" s="149">
        <f>C23-VLOOKUP("Gt St Mary's",$A$2:$C$31,3,FALSE)</f>
        <v>-458</v>
      </c>
      <c r="F23" s="152">
        <f>F22+H$2</f>
        <v>180</v>
      </c>
      <c r="G23" s="153">
        <f>G$1+G$3*COS(F23/180*PI())</f>
        <v>0</v>
      </c>
      <c r="H23" s="154">
        <f>G$2+G$3*SIN(F23/180*PI())</f>
        <v>6.123031769111886E-14</v>
      </c>
      <c r="J23" s="149"/>
    </row>
    <row r="24" spans="1:8" s="152" customFormat="1" ht="10.5" customHeight="1">
      <c r="A24" s="148" t="str">
        <f>'Busking Places'!B25</f>
        <v>Silver Street</v>
      </c>
      <c r="B24" s="148">
        <f>'Busking Places'!C25</f>
        <v>544670</v>
      </c>
      <c r="C24" s="149">
        <f>'Busking Places'!D25</f>
        <v>258065</v>
      </c>
      <c r="D24" s="148">
        <f>B24-VLOOKUP("Gt St Mary's",$A$2:$C$31,2,FALSE)</f>
        <v>-162</v>
      </c>
      <c r="E24" s="149">
        <f>C24-VLOOKUP("Gt St Mary's",$A$2:$C$31,3,FALSE)</f>
        <v>-387</v>
      </c>
      <c r="F24" s="152">
        <f>F23+H$2</f>
        <v>190</v>
      </c>
      <c r="G24" s="153">
        <f>G$1+G$3*COS(F24/180*PI())</f>
        <v>7.596123493896016</v>
      </c>
      <c r="H24" s="154">
        <f>G$2+G$3*SIN(F24/180*PI())</f>
        <v>-86.82408883346524</v>
      </c>
    </row>
    <row r="25" spans="1:8" s="152" customFormat="1" ht="10.5" customHeight="1">
      <c r="A25" s="148" t="str">
        <f>'Busking Places'!B26</f>
        <v>Guildhall, Mkt. Hill</v>
      </c>
      <c r="B25" s="148">
        <f>'Busking Places'!C26</f>
        <v>544915</v>
      </c>
      <c r="C25" s="149">
        <f>'Busking Places'!D26</f>
        <v>258426</v>
      </c>
      <c r="D25" s="148">
        <f>B25-VLOOKUP("Gt St Mary's",$A$2:$C$31,2,FALSE)</f>
        <v>83</v>
      </c>
      <c r="E25" s="149">
        <f>C25-VLOOKUP("Gt St Mary's",$A$2:$C$31,3,FALSE)</f>
        <v>-26</v>
      </c>
      <c r="F25" s="152">
        <f>F24+H$2</f>
        <v>200</v>
      </c>
      <c r="G25" s="153">
        <f>G$1+G$3*COS(F25/180*PI())</f>
        <v>30.153689607045806</v>
      </c>
      <c r="H25" s="154">
        <f>G$2+G$3*SIN(F25/180*PI())</f>
        <v>-171.01007166283432</v>
      </c>
    </row>
    <row r="26" spans="1:9" s="152" customFormat="1" ht="10.5" customHeight="1">
      <c r="A26" s="148" t="str">
        <f>'Busking Places'!B27</f>
        <v>Guildhall, Talos</v>
      </c>
      <c r="B26" s="148">
        <f>'Busking Places'!C27</f>
        <v>544949</v>
      </c>
      <c r="C26" s="149">
        <f>'Busking Places'!D27</f>
        <v>258388</v>
      </c>
      <c r="D26" s="148">
        <f>B26-VLOOKUP("Gt St Mary's",$A$2:$C$31,2,FALSE)</f>
        <v>117</v>
      </c>
      <c r="E26" s="149">
        <f>C26-VLOOKUP("Gt St Mary's",$A$2:$C$31,3,FALSE)</f>
        <v>-64</v>
      </c>
      <c r="F26" s="152">
        <f>F25+H$2</f>
        <v>210</v>
      </c>
      <c r="G26" s="153">
        <f>G$1+G$3*COS(F26/180*PI())</f>
        <v>66.9872981077807</v>
      </c>
      <c r="H26" s="154">
        <f>G$2+G$3*SIN(F26/180*PI())</f>
        <v>-250.00000000000006</v>
      </c>
      <c r="I26" s="152" t="s">
        <v>1018</v>
      </c>
    </row>
    <row r="27" spans="1:10" s="152" customFormat="1" ht="10.5" customHeight="1">
      <c r="A27" s="148" t="str">
        <f>'Busking Places'!B28</f>
        <v>Guildhall, Peas Hill</v>
      </c>
      <c r="B27" s="148">
        <f>'Busking Places'!C28</f>
        <v>544883</v>
      </c>
      <c r="C27" s="149">
        <f>'Busking Places'!D28</f>
        <v>258390</v>
      </c>
      <c r="D27" s="148">
        <f>B27-VLOOKUP("Gt St Mary's",$A$2:$C$31,2,FALSE)</f>
        <v>51</v>
      </c>
      <c r="E27" s="149">
        <f>C27-VLOOKUP("Gt St Mary's",$A$2:$C$31,3,FALSE)</f>
        <v>-62</v>
      </c>
      <c r="F27" s="152">
        <f>F26+H$2</f>
        <v>220</v>
      </c>
      <c r="G27" s="153">
        <f>G$1+G$3*COS(F27/180*PI())</f>
        <v>116.97777844051097</v>
      </c>
      <c r="H27" s="154">
        <f>G$2+G$3*SIN(F27/180*PI())</f>
        <v>-321.3938048432696</v>
      </c>
      <c r="I27" s="150" t="s">
        <v>906</v>
      </c>
      <c r="J27" s="151" t="s">
        <v>907</v>
      </c>
    </row>
    <row r="28" spans="1:10" s="152" customFormat="1" ht="10.5" customHeight="1">
      <c r="A28" s="159" t="str">
        <f>'Busking Places'!B29</f>
        <v>Gt St Mary's</v>
      </c>
      <c r="B28" s="159">
        <f>'Busking Places'!C29</f>
        <v>544832</v>
      </c>
      <c r="C28" s="160">
        <f>'Busking Places'!D29</f>
        <v>258452</v>
      </c>
      <c r="D28" s="148">
        <f>B28-VLOOKUP("Gt St Mary's",$A$2:$C$31,2,FALSE)</f>
        <v>0</v>
      </c>
      <c r="E28" s="149">
        <f>C28-VLOOKUP("Gt St Mary's",$A$2:$C$31,3,FALSE)</f>
        <v>0</v>
      </c>
      <c r="F28" s="152">
        <f>F27+H$2</f>
        <v>230</v>
      </c>
      <c r="G28" s="153">
        <f>G$1+G$3*COS(F28/180*PI())</f>
        <v>178.60619515673028</v>
      </c>
      <c r="H28" s="154">
        <f>G$2+G$3*SIN(F28/180*PI())</f>
        <v>-383.02222155948897</v>
      </c>
      <c r="I28" s="148">
        <f>I5-B$28</f>
        <v>510</v>
      </c>
      <c r="J28" s="149">
        <f>J5-C$28</f>
        <v>-356</v>
      </c>
    </row>
    <row r="29" spans="1:10" s="152" customFormat="1" ht="10.5" customHeight="1">
      <c r="A29" s="148" t="str">
        <f>'Busking Places'!B30</f>
        <v>Sidney Street</v>
      </c>
      <c r="B29" s="148">
        <f>'Busking Places'!C30</f>
        <v>545029</v>
      </c>
      <c r="C29" s="149">
        <f>'Busking Places'!D30</f>
        <v>258504</v>
      </c>
      <c r="D29" s="148">
        <f>B29-VLOOKUP("Gt St Mary's",$A$2:$C$31,2,FALSE)</f>
        <v>197</v>
      </c>
      <c r="E29" s="149">
        <f>C29-VLOOKUP("Gt St Mary's",$A$2:$C$31,3,FALSE)</f>
        <v>52</v>
      </c>
      <c r="F29" s="152">
        <f>F28+H$2</f>
        <v>240</v>
      </c>
      <c r="G29" s="153">
        <f>G$1+G$3*COS(F29/180*PI())</f>
        <v>249.99999999999977</v>
      </c>
      <c r="H29" s="154">
        <f>G$2+G$3*SIN(F29/180*PI())</f>
        <v>-433.0127018922192</v>
      </c>
      <c r="I29" s="148">
        <f>I6-B$28</f>
        <v>644</v>
      </c>
      <c r="J29" s="149">
        <f>J6-C$28</f>
        <v>-126</v>
      </c>
    </row>
    <row r="30" spans="1:10" s="152" customFormat="1" ht="10.5" customHeight="1">
      <c r="A30" s="148" t="str">
        <f>'Busking Places'!B31</f>
        <v>Sussex Street</v>
      </c>
      <c r="B30" s="148">
        <f>'Busking Places'!C31</f>
        <v>545026</v>
      </c>
      <c r="C30" s="149">
        <f>'Busking Places'!D31</f>
        <v>258616</v>
      </c>
      <c r="D30" s="148">
        <f>B30-VLOOKUP("Gt St Mary's",$A$2:$C$31,2,FALSE)</f>
        <v>194</v>
      </c>
      <c r="E30" s="149">
        <f>C30-VLOOKUP("Gt St Mary's",$A$2:$C$31,3,FALSE)</f>
        <v>164</v>
      </c>
      <c r="F30" s="152">
        <f>F29+H$2</f>
        <v>250</v>
      </c>
      <c r="G30" s="153">
        <f>G$1+G$3*COS(F30/180*PI())</f>
        <v>328.98992833716534</v>
      </c>
      <c r="H30" s="154">
        <f>G$2+G$3*SIN(F30/180*PI())</f>
        <v>-469.8463103929541</v>
      </c>
      <c r="I30" s="148">
        <f>I7-B$28</f>
        <v>886</v>
      </c>
      <c r="J30" s="149">
        <f>J7-C$28</f>
        <v>-285</v>
      </c>
    </row>
    <row r="31" spans="1:10" s="152" customFormat="1" ht="10.5" customHeight="1">
      <c r="A31" s="148">
        <f>'Busking Places'!B32</f>
        <v>0</v>
      </c>
      <c r="B31" s="148">
        <f>'Busking Places'!C32</f>
        <v>0</v>
      </c>
      <c r="C31" s="149">
        <f>'Busking Places'!D32</f>
        <v>0</v>
      </c>
      <c r="D31" s="148">
        <f>B31-VLOOKUP("Gt St Mary's",$A$2:$C$31,2,FALSE)</f>
        <v>-544832</v>
      </c>
      <c r="E31" s="149">
        <f>C31-VLOOKUP("Gt St Mary's",$A$2:$C$31,3,FALSE)</f>
        <v>-258452</v>
      </c>
      <c r="F31" s="152">
        <f>F30+H$2</f>
        <v>260</v>
      </c>
      <c r="G31" s="153">
        <f>G$1+G$3*COS(F31/180*PI())</f>
        <v>413.17591116653483</v>
      </c>
      <c r="H31" s="154">
        <f>G$2+G$3*SIN(F31/180*PI())</f>
        <v>-492.403876506104</v>
      </c>
      <c r="I31" s="148">
        <f>I8-B$28</f>
        <v>695</v>
      </c>
      <c r="J31" s="149">
        <f>J8-C$28</f>
        <v>-565</v>
      </c>
    </row>
    <row r="32" spans="1:10" s="152" customFormat="1" ht="10.5" customHeight="1">
      <c r="A32" s="148">
        <f>'Busking Places'!B33</f>
        <v>0</v>
      </c>
      <c r="B32" s="148">
        <f>'Busking Places'!C33</f>
        <v>0</v>
      </c>
      <c r="C32" s="149">
        <f>'Busking Places'!D33</f>
        <v>0</v>
      </c>
      <c r="D32" s="148">
        <f>B32-VLOOKUP("Gt St Mary's",$A$2:$C$31,2,FALSE)</f>
        <v>-544832</v>
      </c>
      <c r="E32" s="149">
        <f>C32-VLOOKUP("Gt St Mary's",$A$2:$C$31,3,FALSE)</f>
        <v>-258452</v>
      </c>
      <c r="F32" s="152">
        <f>F31+H$2</f>
        <v>270</v>
      </c>
      <c r="G32" s="153">
        <f>G$1+G$3*COS(F32/180*PI())</f>
        <v>499.9999999999999</v>
      </c>
      <c r="H32" s="154">
        <f>G$2+G$3*SIN(F32/180*PI())</f>
        <v>-500</v>
      </c>
      <c r="I32" s="148">
        <f>I9-B$28</f>
        <v>510</v>
      </c>
      <c r="J32" s="149">
        <f>J9-C$28</f>
        <v>-356</v>
      </c>
    </row>
    <row r="33" spans="1:10" s="152" customFormat="1" ht="10.5" customHeight="1">
      <c r="A33" s="148" t="str">
        <f>'Busking Places'!B34</f>
        <v>Drummer St.??</v>
      </c>
      <c r="B33" s="148">
        <f>'Busking Places'!C34</f>
        <v>545188</v>
      </c>
      <c r="C33" s="149">
        <f>'Busking Places'!D34</f>
        <v>258495</v>
      </c>
      <c r="D33" s="148">
        <f>B33-VLOOKUP("Gt St Mary's",$A$2:$C$31,2,FALSE)</f>
        <v>356</v>
      </c>
      <c r="E33" s="149">
        <f>C33-VLOOKUP("Gt St Mary's",$A$2:$C$31,3,FALSE)</f>
        <v>43</v>
      </c>
      <c r="F33" s="152">
        <f>F32+H$2</f>
        <v>280</v>
      </c>
      <c r="G33" s="153">
        <f>G$1+G$3*COS(F33/180*PI())</f>
        <v>586.824088833465</v>
      </c>
      <c r="H33" s="154">
        <f>G$2+G$3*SIN(F33/180*PI())</f>
        <v>-492.40387650610404</v>
      </c>
      <c r="I33" s="148">
        <f>I10-B$28</f>
        <v>886</v>
      </c>
      <c r="J33" s="149">
        <f>J10-C$28</f>
        <v>-285</v>
      </c>
    </row>
    <row r="34" spans="1:10" s="152" customFormat="1" ht="10.5" customHeight="1">
      <c r="A34" s="148" t="str">
        <f>'Busking Places'!B35</f>
        <v>City Cycle Hire</v>
      </c>
      <c r="B34" s="148">
        <f>'Busking Places'!C35</f>
        <v>544486</v>
      </c>
      <c r="C34" s="149">
        <f>'Busking Places'!D35</f>
        <v>257632</v>
      </c>
      <c r="D34" s="148">
        <f>B34-VLOOKUP("Gt St Mary's",$A$2:$C$31,2,FALSE)</f>
        <v>-346</v>
      </c>
      <c r="E34" s="149">
        <f>C34-VLOOKUP("Gt St Mary's",$A$2:$C$31,3,FALSE)</f>
        <v>-820</v>
      </c>
      <c r="F34" s="152">
        <f>F33+H$2</f>
        <v>290</v>
      </c>
      <c r="G34" s="153">
        <f>G$1+G$3*COS(F34/180*PI())</f>
        <v>671.0100716628344</v>
      </c>
      <c r="H34" s="154">
        <f>G$2+G$3*SIN(F34/180*PI())</f>
        <v>-469.84631039295414</v>
      </c>
      <c r="I34" s="148">
        <f>I11-B$28</f>
        <v>695</v>
      </c>
      <c r="J34" s="149">
        <f>J11-C$28</f>
        <v>-565</v>
      </c>
    </row>
    <row r="35" spans="1:10" s="152" customFormat="1" ht="10.5" customHeight="1">
      <c r="A35" s="148" t="str">
        <f>'Busking Places'!B36</f>
        <v>The Red Bull</v>
      </c>
      <c r="B35" s="148">
        <f>'Busking Places'!C36</f>
        <v>544221</v>
      </c>
      <c r="C35" s="149">
        <f>'Busking Places'!D36</f>
        <v>257441</v>
      </c>
      <c r="D35" s="148">
        <f>B35-VLOOKUP("Gt St Mary's",$A$2:$C$31,2,FALSE)</f>
        <v>-611</v>
      </c>
      <c r="E35" s="149">
        <f>C35-VLOOKUP("Gt St Mary's",$A$2:$C$31,3,FALSE)</f>
        <v>-1011</v>
      </c>
      <c r="F35" s="152">
        <f>F34+H$2</f>
        <v>300</v>
      </c>
      <c r="G35" s="153">
        <f>G$1+G$3*COS(F35/180*PI())</f>
        <v>750</v>
      </c>
      <c r="H35" s="154">
        <f>G$2+G$3*SIN(F35/180*PI())</f>
        <v>-433.0127018922193</v>
      </c>
      <c r="I35" s="148">
        <f>I12-B$28</f>
        <v>710</v>
      </c>
      <c r="J35" s="149">
        <f>J12-C$28</f>
        <v>-169.36363636364695</v>
      </c>
    </row>
    <row r="36" spans="1:10" s="152" customFormat="1" ht="10.5" customHeight="1">
      <c r="A36" s="148" t="str">
        <f>'Busking Places'!B37</f>
        <v>Bradmore Court</v>
      </c>
      <c r="B36" s="148">
        <f>'Busking Places'!C37</f>
        <v>545875</v>
      </c>
      <c r="C36" s="149">
        <f>'Busking Places'!D37</f>
        <v>258246</v>
      </c>
      <c r="D36" s="148">
        <f>B36-VLOOKUP("Gt St Mary's",$A$2:$C$31,2,FALSE)</f>
        <v>1043</v>
      </c>
      <c r="E36" s="149">
        <f>C36-VLOOKUP("Gt St Mary's",$A$2:$C$31,3,FALSE)</f>
        <v>-206</v>
      </c>
      <c r="F36" s="152">
        <f>F35+H$2</f>
        <v>310</v>
      </c>
      <c r="G36" s="153">
        <f>G$1+G$3*COS(F36/180*PI())</f>
        <v>821.3938048432697</v>
      </c>
      <c r="H36" s="154">
        <f>G$2+G$3*SIN(F36/180*PI())</f>
        <v>-383.0222215594891</v>
      </c>
      <c r="I36" s="148"/>
      <c r="J36" s="148"/>
    </row>
    <row r="37" spans="1:10" s="152" customFormat="1" ht="10.5" customHeight="1">
      <c r="A37" s="148">
        <f>'Busking Places'!B38</f>
        <v>0</v>
      </c>
      <c r="B37" s="148">
        <f>'Busking Places'!C38</f>
        <v>0</v>
      </c>
      <c r="C37" s="149">
        <f>'Busking Places'!D38</f>
        <v>0</v>
      </c>
      <c r="D37" s="148">
        <f>B37-VLOOKUP("Gt St Mary's",$A$2:$C$31,2,FALSE)</f>
        <v>-544832</v>
      </c>
      <c r="E37" s="149">
        <f>C37-VLOOKUP("Gt St Mary's",$A$2:$C$31,3,FALSE)</f>
        <v>-258452</v>
      </c>
      <c r="F37" s="152">
        <f>F36+H$2</f>
        <v>320</v>
      </c>
      <c r="G37" s="153">
        <f>G$1+G$3*COS(F37/180*PI())</f>
        <v>883.0222215594889</v>
      </c>
      <c r="H37" s="154">
        <f>G$2+G$3*SIN(F37/180*PI())</f>
        <v>-321.3938048432698</v>
      </c>
      <c r="I37" s="148"/>
      <c r="J37" s="148"/>
    </row>
    <row r="38" spans="1:10" s="152" customFormat="1" ht="10.5" customHeight="1">
      <c r="A38" s="148"/>
      <c r="B38" s="148"/>
      <c r="C38" s="149"/>
      <c r="D38" s="148"/>
      <c r="E38" s="149"/>
      <c r="F38" s="152">
        <f>F37+H$2</f>
        <v>330</v>
      </c>
      <c r="G38" s="153">
        <f>G$1+G$3*COS(F38/180*PI())</f>
        <v>933.0127018922192</v>
      </c>
      <c r="H38" s="154">
        <f>G$2+G$3*SIN(F38/180*PI())</f>
        <v>-250.00000000000023</v>
      </c>
      <c r="I38" s="148"/>
      <c r="J38" s="148"/>
    </row>
    <row r="39" spans="1:10" s="152" customFormat="1" ht="10.5" customHeight="1">
      <c r="A39" s="148"/>
      <c r="B39" s="148"/>
      <c r="C39" s="149"/>
      <c r="D39" s="148"/>
      <c r="E39" s="149"/>
      <c r="F39" s="152">
        <f>F38+H$2</f>
        <v>340</v>
      </c>
      <c r="G39" s="153">
        <f>G$1+G$3*COS(F39/180*PI())</f>
        <v>969.846310392954</v>
      </c>
      <c r="H39" s="154">
        <f>G$2+G$3*SIN(F39/180*PI())</f>
        <v>-171.01007166283472</v>
      </c>
      <c r="I39" s="148"/>
      <c r="J39" s="148"/>
    </row>
    <row r="40" spans="1:8" s="152" customFormat="1" ht="10.5" customHeight="1">
      <c r="A40" s="148"/>
      <c r="B40" s="148"/>
      <c r="C40" s="149"/>
      <c r="D40" s="148"/>
      <c r="E40" s="148"/>
      <c r="F40" s="152">
        <f>F39+H$2</f>
        <v>350</v>
      </c>
      <c r="G40" s="153">
        <f>G$1+G$3*COS(F40/180*PI())</f>
        <v>992.403876506104</v>
      </c>
      <c r="H40" s="154">
        <f>G$2+G$3*SIN(F40/180*PI())</f>
        <v>-86.8240888334652</v>
      </c>
    </row>
    <row r="41" spans="6:24" ht="10.5" customHeight="1">
      <c r="F41" s="152">
        <f>F40+H$2</f>
        <v>360</v>
      </c>
      <c r="G41" s="153">
        <f>G$1+G$3*COS(F41/180*PI())</f>
        <v>1000</v>
      </c>
      <c r="H41" s="154">
        <f>G$2+G$3*SIN(F41/180*PI())</f>
        <v>-1.2246063538223773E-13</v>
      </c>
      <c r="I41" s="152"/>
      <c r="J41" s="152"/>
      <c r="K41" s="152"/>
      <c r="L41" s="152"/>
      <c r="M41" s="152"/>
      <c r="N41" s="152"/>
      <c r="O41" s="152"/>
      <c r="P41" s="152"/>
      <c r="Q41" s="152"/>
      <c r="R41" s="152"/>
      <c r="S41" s="152"/>
      <c r="T41" s="152"/>
      <c r="U41" s="152"/>
      <c r="V41" s="152"/>
      <c r="W41" s="152"/>
      <c r="X41" s="152"/>
    </row>
    <row r="42" ht="12">
      <c r="G42" s="1" t="s">
        <v>1019</v>
      </c>
    </row>
    <row r="43" ht="4.5" customHeight="1"/>
    <row r="44" ht="4.5" customHeight="1"/>
    <row r="45" ht="4.5" customHeight="1"/>
    <row r="46" ht="4.5" customHeight="1"/>
    <row r="47" ht="4.5" customHeight="1"/>
    <row r="48" ht="4.5" customHeight="1"/>
    <row r="49" ht="4.5" customHeight="1"/>
  </sheetData>
  <printOptions horizontalCentered="1" verticalCentered="1"/>
  <pageMargins left="0.7479166666666667" right="0.7479166666666667" top="1.18125" bottom="0.9840277777777777" header="0.5118055555555555" footer="0.5118055555555555"/>
  <pageSetup horizontalDpi="300" verticalDpi="300" orientation="landscape" paperSize="9"/>
  <headerFooter alignWithMargins="0">
    <oddHeader>&amp;L&amp;"Monotype Corsiva,Regular"&amp;16Joint Morris Organisations
The Morris Ring&amp;C&amp;"Monotype Corsiva,Regular"&amp;16&amp;A&amp;R&amp;"Monotype Corsiva,Regular"&amp;16Cambridge Morris Men</oddHeader>
    <oddFooter>&amp;L&amp;F&amp;Cpage &amp;P of &amp;N&amp;R&amp;T on &amp;D</oddFooter>
  </headerFooter>
  <drawing r:id="rId1"/>
</worksheet>
</file>

<file path=xl/worksheets/sheet12.xml><?xml version="1.0" encoding="utf-8"?>
<worksheet xmlns="http://schemas.openxmlformats.org/spreadsheetml/2006/main" xmlns:r="http://schemas.openxmlformats.org/officeDocument/2006/relationships">
  <dimension ref="A1:E26"/>
  <sheetViews>
    <sheetView zoomScale="150" zoomScaleNormal="150" workbookViewId="0" topLeftCell="A1">
      <selection activeCell="A1" sqref="A1"/>
    </sheetView>
  </sheetViews>
  <sheetFormatPr defaultColWidth="9.140625" defaultRowHeight="12.75"/>
  <cols>
    <col min="2" max="2" width="26.8515625" style="0" customWidth="1"/>
    <col min="4" max="4" width="10.57421875" style="0" customWidth="1"/>
  </cols>
  <sheetData>
    <row r="1" ht="12">
      <c r="A1" s="144" t="s">
        <v>1020</v>
      </c>
    </row>
    <row r="2" spans="2:3" ht="12">
      <c r="B2" t="s">
        <v>1021</v>
      </c>
      <c r="C2" t="s">
        <v>1022</v>
      </c>
    </row>
    <row r="3" spans="2:4" ht="12">
      <c r="B3" t="s">
        <v>1023</v>
      </c>
      <c r="C3" s="161">
        <v>60</v>
      </c>
      <c r="D3" t="s">
        <v>1024</v>
      </c>
    </row>
    <row r="4" spans="2:4" ht="12">
      <c r="B4" t="s">
        <v>530</v>
      </c>
      <c r="C4" s="161">
        <v>40</v>
      </c>
      <c r="D4" t="s">
        <v>1025</v>
      </c>
    </row>
    <row r="5" spans="2:4" ht="12">
      <c r="B5" t="s">
        <v>531</v>
      </c>
      <c r="C5" s="161">
        <v>15</v>
      </c>
      <c r="D5" t="s">
        <v>1026</v>
      </c>
    </row>
    <row r="6" spans="2:3" ht="12">
      <c r="B6" t="s">
        <v>2</v>
      </c>
      <c r="C6" t="s">
        <v>1027</v>
      </c>
    </row>
    <row r="7" spans="2:3" ht="12">
      <c r="B7" t="s">
        <v>532</v>
      </c>
      <c r="C7" t="s">
        <v>1028</v>
      </c>
    </row>
    <row r="8" ht="12">
      <c r="C8" t="s">
        <v>1029</v>
      </c>
    </row>
    <row r="10" spans="1:3" ht="12">
      <c r="A10" s="144" t="s">
        <v>1030</v>
      </c>
      <c r="C10" s="162" t="s">
        <v>1031</v>
      </c>
    </row>
    <row r="11" ht="12">
      <c r="B11" t="s">
        <v>1032</v>
      </c>
    </row>
    <row r="15" ht="12">
      <c r="A15" s="144" t="s">
        <v>544</v>
      </c>
    </row>
    <row r="16" ht="12">
      <c r="B16" t="s">
        <v>1033</v>
      </c>
    </row>
    <row r="17" ht="12">
      <c r="B17" t="s">
        <v>1034</v>
      </c>
    </row>
    <row r="19" ht="12">
      <c r="A19" s="144" t="s">
        <v>1035</v>
      </c>
    </row>
    <row r="20" spans="1:5" ht="12">
      <c r="A20" s="10" t="s">
        <v>373</v>
      </c>
      <c r="B20" s="9" t="s">
        <v>540</v>
      </c>
      <c r="C20" s="9" t="s">
        <v>541</v>
      </c>
      <c r="E20" s="9" t="s">
        <v>542</v>
      </c>
    </row>
    <row r="21" spans="2:5" ht="12.75">
      <c r="B21" t="s">
        <v>1036</v>
      </c>
      <c r="C21" t="s">
        <v>539</v>
      </c>
      <c r="E21" s="68" t="s">
        <v>543</v>
      </c>
    </row>
    <row r="24" ht="12">
      <c r="A24" s="144" t="s">
        <v>1037</v>
      </c>
    </row>
    <row r="25" spans="1:2" ht="12.75">
      <c r="A25" t="s">
        <v>1038</v>
      </c>
      <c r="B25" s="163" t="s">
        <v>1039</v>
      </c>
    </row>
    <row r="26" ht="12">
      <c r="B26" s="163"/>
    </row>
  </sheetData>
  <hyperlinks>
    <hyperlink ref="E21" r:id="rId1" display="brian.hansell@ntlworld.com"/>
    <hyperlink ref="B25" r:id="rId2" display="http://www.cambridgemorrismen.org.uk/jmo-2014/"/>
  </hyperlinks>
  <printOptions horizontalCentered="1"/>
  <pageMargins left="0.7479166666666667" right="0.7479166666666667" top="1.18125" bottom="0.9840277777777777" header="0.5118055555555555" footer="0.5118055555555555"/>
  <pageSetup horizontalDpi="300" verticalDpi="300" orientation="landscape" paperSize="9"/>
  <headerFooter alignWithMargins="0">
    <oddHeader>&amp;L&amp;"Monotype Corsiva,Regular"&amp;16Joint Morris Organisations
The Morris Ring&amp;C&amp;"Monotype Corsiva,Regular"&amp;16Cambridge 2014 Day of Dance
&amp;A&amp;R&amp;"Monotype Corsiva,Regular"&amp;16Cambridge Morris Men
Graham Cox</oddHeader>
    <oddFooter>&amp;L&amp;F&amp;Cpage &amp;P of &amp;N&amp;R&amp;T on &amp;D</oddFooter>
  </headerFooter>
</worksheet>
</file>

<file path=xl/worksheets/sheet13.xml><?xml version="1.0" encoding="utf-8"?>
<worksheet xmlns="http://schemas.openxmlformats.org/spreadsheetml/2006/main" xmlns:r="http://schemas.openxmlformats.org/officeDocument/2006/relationships">
  <dimension ref="A1:AQ83"/>
  <sheetViews>
    <sheetView zoomScale="150" zoomScaleNormal="150" workbookViewId="0" topLeftCell="A1">
      <pane xSplit="1" ySplit="2" topLeftCell="B3" activePane="bottomRight" state="frozen"/>
      <selection pane="topLeft" activeCell="A1" sqref="A1"/>
      <selection pane="topRight" activeCell="B1" sqref="B1"/>
      <selection pane="bottomLeft" activeCell="A3" sqref="A3"/>
      <selection pane="bottomRight" activeCell="B3" sqref="B3"/>
    </sheetView>
  </sheetViews>
  <sheetFormatPr defaultColWidth="9.140625" defaultRowHeight="12.75"/>
  <cols>
    <col min="1" max="1" width="17.7109375" style="11" customWidth="1"/>
    <col min="2" max="2" width="4.00390625" style="9" customWidth="1"/>
    <col min="3" max="3" width="4.421875" style="9" customWidth="1"/>
    <col min="4" max="4" width="4.28125" style="9" customWidth="1"/>
    <col min="5" max="5" width="17.57421875" style="11" customWidth="1"/>
    <col min="6" max="6" width="24.57421875" style="65" customWidth="1"/>
    <col min="7" max="7" width="13.28125" style="9" customWidth="1"/>
    <col min="8" max="8" width="13.7109375" style="9" customWidth="1"/>
    <col min="9" max="10" width="3.28125" style="9" customWidth="1"/>
    <col min="11" max="11" width="2.7109375" style="9" customWidth="1"/>
    <col min="12" max="12" width="50.7109375" style="11" customWidth="1"/>
    <col min="13" max="13" width="30.7109375" style="11" customWidth="1"/>
    <col min="14" max="14" width="6.8515625" style="9" customWidth="1"/>
    <col min="15" max="15" width="8.140625" style="9" customWidth="1"/>
    <col min="16" max="18" width="3.28125" style="9" customWidth="1"/>
    <col min="19" max="21" width="3.28125" style="63" customWidth="1"/>
    <col min="22" max="25" width="3.28125" style="0" customWidth="1"/>
    <col min="26" max="28" width="3.28125" style="9" customWidth="1"/>
    <col min="29" max="30" width="2.7109375" style="9" customWidth="1"/>
    <col min="31" max="36" width="3.28125" style="9" customWidth="1"/>
    <col min="37" max="37" width="2.7109375" style="9" customWidth="1"/>
    <col min="38" max="43" width="19.00390625" style="96" customWidth="1"/>
    <col min="44" max="53" width="1.7109375" style="9" customWidth="1"/>
    <col min="54" max="16384" width="9.140625" style="9" customWidth="1"/>
  </cols>
  <sheetData>
    <row r="1" spans="2:28" ht="17.25">
      <c r="B1" s="164"/>
      <c r="C1" s="165" t="s">
        <v>1040</v>
      </c>
      <c r="D1" s="166">
        <f>SUM($B4:$B65)</f>
        <v>681</v>
      </c>
      <c r="E1" s="167" t="s">
        <v>1041</v>
      </c>
      <c r="F1" s="168">
        <f>COUNTA($C3:$C66)</f>
        <v>61</v>
      </c>
      <c r="G1" s="169" t="s">
        <v>1042</v>
      </c>
      <c r="H1" s="170"/>
      <c r="J1" s="171"/>
      <c r="N1" s="164"/>
      <c r="O1" s="172" t="s">
        <v>1043</v>
      </c>
      <c r="P1" s="173">
        <f>SUM(P3:P105)</f>
        <v>338</v>
      </c>
      <c r="Q1" s="173">
        <f>SUM(Q3:Q105)</f>
        <v>172</v>
      </c>
      <c r="R1" s="174">
        <f>SUM(R3:R105)</f>
        <v>196</v>
      </c>
      <c r="S1" s="63">
        <f>SUM(S3:S105)</f>
        <v>27</v>
      </c>
      <c r="T1" s="63">
        <f>SUM(T3:T105)</f>
        <v>16</v>
      </c>
      <c r="U1" s="63">
        <f>SUM(U3:U105)</f>
        <v>19</v>
      </c>
      <c r="V1" s="175">
        <f>SUM(V3:V105)</f>
        <v>10</v>
      </c>
      <c r="W1" s="176">
        <f>SUM(W3:W105)</f>
        <v>38</v>
      </c>
      <c r="X1" s="176">
        <f>SUM(X3:X105)</f>
        <v>2</v>
      </c>
      <c r="Y1" s="176">
        <f>SUM(Y3:Y105)</f>
        <v>3</v>
      </c>
      <c r="Z1" s="176">
        <f>SUM(Z3:Z105)</f>
        <v>13</v>
      </c>
      <c r="AA1" s="176">
        <f>SUM(AA3:AA105)</f>
        <v>3</v>
      </c>
      <c r="AB1" s="177">
        <f>SUM(AB3:AB105)</f>
        <v>1</v>
      </c>
    </row>
    <row r="2" spans="1:43" s="13" customFormat="1" ht="49.5" customHeight="1">
      <c r="A2" s="13" t="s">
        <v>812</v>
      </c>
      <c r="B2" s="13" t="s">
        <v>1044</v>
      </c>
      <c r="C2" s="178" t="s">
        <v>1045</v>
      </c>
      <c r="D2" s="178" t="s">
        <v>1046</v>
      </c>
      <c r="E2" s="13" t="s">
        <v>1047</v>
      </c>
      <c r="F2" s="13" t="s">
        <v>1048</v>
      </c>
      <c r="G2" s="13" t="s">
        <v>1049</v>
      </c>
      <c r="H2" s="13" t="s">
        <v>1050</v>
      </c>
      <c r="I2" s="179" t="s">
        <v>1051</v>
      </c>
      <c r="J2" s="179" t="s">
        <v>1052</v>
      </c>
      <c r="K2" s="180" t="s">
        <v>1053</v>
      </c>
      <c r="L2" s="13" t="s">
        <v>1054</v>
      </c>
      <c r="M2" s="13" t="s">
        <v>21</v>
      </c>
      <c r="N2" s="13" t="s">
        <v>1055</v>
      </c>
      <c r="O2" s="13" t="s">
        <v>1056</v>
      </c>
      <c r="P2" s="179" t="s">
        <v>1057</v>
      </c>
      <c r="Q2" s="179" t="s">
        <v>1058</v>
      </c>
      <c r="R2" s="179" t="s">
        <v>1059</v>
      </c>
      <c r="S2" s="181" t="s">
        <v>1057</v>
      </c>
      <c r="T2" s="181" t="s">
        <v>1058</v>
      </c>
      <c r="U2" s="181" t="s">
        <v>1059</v>
      </c>
      <c r="V2" s="182" t="s">
        <v>1060</v>
      </c>
      <c r="W2" s="183" t="s">
        <v>1061</v>
      </c>
      <c r="X2" s="183" t="s">
        <v>1062</v>
      </c>
      <c r="Y2" s="183" t="s">
        <v>1063</v>
      </c>
      <c r="Z2" s="183" t="s">
        <v>1064</v>
      </c>
      <c r="AA2" s="183" t="s">
        <v>1065</v>
      </c>
      <c r="AB2" s="184" t="s">
        <v>1066</v>
      </c>
      <c r="AC2" s="185"/>
      <c r="AD2" s="186" t="s">
        <v>1067</v>
      </c>
      <c r="AE2" s="187">
        <v>0.4166666666666667</v>
      </c>
      <c r="AF2" s="187">
        <v>0.4548611111111111</v>
      </c>
      <c r="AG2" s="187">
        <v>0.4930555555555555</v>
      </c>
      <c r="AH2" s="187">
        <v>0.5347222222222222</v>
      </c>
      <c r="AI2" s="187">
        <v>0.5763888888888888</v>
      </c>
      <c r="AJ2" s="187">
        <v>0.6145833333333333</v>
      </c>
      <c r="AL2" s="188" t="s">
        <v>1068</v>
      </c>
      <c r="AM2" s="188" t="s">
        <v>1069</v>
      </c>
      <c r="AN2" s="188" t="s">
        <v>1070</v>
      </c>
      <c r="AO2" s="188" t="s">
        <v>1071</v>
      </c>
      <c r="AP2" s="188" t="s">
        <v>1072</v>
      </c>
      <c r="AQ2" s="188" t="s">
        <v>1073</v>
      </c>
    </row>
    <row r="3" spans="1:43" ht="21">
      <c r="A3" s="11" t="s">
        <v>872</v>
      </c>
      <c r="B3" s="9">
        <v>10</v>
      </c>
      <c r="C3" s="9" t="s">
        <v>1058</v>
      </c>
      <c r="D3" s="9" t="s">
        <v>1074</v>
      </c>
      <c r="E3" s="11" t="s">
        <v>1075</v>
      </c>
      <c r="F3" s="189" t="s">
        <v>1076</v>
      </c>
      <c r="H3" s="9" t="s">
        <v>1077</v>
      </c>
      <c r="I3" s="9">
        <f>MATCH("Duke's Dandy",A$1:A$66,0)</f>
        <v>4</v>
      </c>
      <c r="J3" s="96">
        <v>1</v>
      </c>
      <c r="K3" s="9" t="s">
        <v>907</v>
      </c>
      <c r="L3" s="11" t="s">
        <v>1078</v>
      </c>
      <c r="M3" s="11" t="s">
        <v>1079</v>
      </c>
      <c r="N3" s="190">
        <v>41683</v>
      </c>
      <c r="P3" s="9">
        <f>IF(ISERROR(FIND(P$2,$C3)),0,$B3)</f>
        <v>0</v>
      </c>
      <c r="Q3" s="9">
        <f>IF(ISERROR(FIND(Q$2,$C3)),0,$B3)</f>
        <v>10</v>
      </c>
      <c r="R3" s="9">
        <f>IF(ISERROR(FIND(R$2,$C3)),0,$B3)</f>
        <v>0</v>
      </c>
      <c r="S3" s="63">
        <f>IF(ISERROR(FIND(S$2,$C3)),0,1)</f>
        <v>0</v>
      </c>
      <c r="T3" s="63">
        <f>IF(ISERROR(FIND(T$2,$C3)),0,1)</f>
        <v>1</v>
      </c>
      <c r="U3" s="63">
        <f>IF(ISERROR(FIND(U$2,$C3)),0,1)</f>
        <v>0</v>
      </c>
      <c r="V3" s="9">
        <f>IF(ISERROR(FIND(LEFT(V$2,1),$D3)),0,1)</f>
        <v>0</v>
      </c>
      <c r="W3" s="9">
        <f>IF(ISERROR(FIND(LEFT(W$2,1),$D3)),0,1)</f>
        <v>1</v>
      </c>
      <c r="X3" s="9">
        <f>IF(ISERROR(FIND(LEFT(X$2,1),$D3)),0,1)</f>
        <v>0</v>
      </c>
      <c r="Y3" s="9">
        <f>IF(ISERROR(FIND(LEFT(Y$2,1),$D3)),0,1)</f>
        <v>0</v>
      </c>
      <c r="Z3" s="9">
        <f>IF(ISERROR(FIND(LEFT(Z$2,1),$D3)),0,1)</f>
        <v>0</v>
      </c>
      <c r="AA3" s="9">
        <f>IF(ISERROR(FIND(LEFT(AA$2,1),$D3)),0,1)</f>
        <v>0</v>
      </c>
      <c r="AB3" s="9">
        <f>IF(ISERROR(FIND(LEFT(AB$2,1),$D3)),0,1)</f>
        <v>0</v>
      </c>
      <c r="AD3" s="16" t="s">
        <v>1080</v>
      </c>
      <c r="AE3" s="109">
        <v>19</v>
      </c>
      <c r="AF3" s="105">
        <f>IF(AE3="L",VLOOKUP(AD3,'Busking Places'!$N$9:$R$28,IF($AD3="w",3,IF($AD3="c",4,IF($AD3="s",5,0)))),IF(AND(ROW(AF3)-COLUMN(AF3)=ODD(ROW(AF3)-COLUMN(AF3)),COLUMN(AF3)&gt;32,COLUMN(AF3)&lt;35),"L",VLOOKUP(AE3,'Busking Places'!$N$9:$R$28,IF($AD3="w",3,IF($AD3="c",4,IF($AD3="s",5,0))))))</f>
        <v>17</v>
      </c>
      <c r="AG3" s="105">
        <f>IF(AF3="L",VLOOKUP(AE3,'Busking Places'!$N$9:$R$28,IF($AD3="w",3,IF($AD3="c",4,IF($AD3="s",5,0)))),IF(AND(ROW(AG3)-COLUMN(AG3)=ODD(ROW(AG3)-COLUMN(AG3)),COLUMN(AG3)&gt;32,COLUMN(AG3)&lt;35),"L",VLOOKUP(AF3,'Busking Places'!$N$9:$R$28,IF($AD3="w",3,IF($AD3="c",4,IF($AD3="s",5,0))))))</f>
        <v>15</v>
      </c>
      <c r="AH3" s="105" t="str">
        <f>IF(AG3="L",VLOOKUP(AF3,'Busking Places'!$N$9:$R$28,IF($AD3="w",3,IF($AD3="c",4,IF($AD3="s",5,0)))),IF(AND(ROW(AH3)-COLUMN(AH3)=ODD(ROW(AH3)-COLUMN(AH3)),COLUMN(AH3)&gt;32,COLUMN(AH3)&lt;35),"L",VLOOKUP(AG3,'Busking Places'!$N$9:$R$28,IF($AD3="w",3,IF($AD3="c",4,IF($AD3="s",5,0))))))</f>
        <v>L</v>
      </c>
      <c r="AI3" s="105">
        <f>IF(AH3="L",VLOOKUP(AG3,'Busking Places'!$N$9:$R$28,IF($AD3="w",3,IF($AD3="c",4,IF($AD3="s",5,0)))),IF(AND(ROW(AI3)-COLUMN(AI3)=ODD(ROW(AI3)-COLUMN(AI3)),COLUMN(AI3)&gt;32,COLUMN(AI3)&lt;35),"L",VLOOKUP(AH3,'Busking Places'!$N$9:$R$28,IF($AD3="w",3,IF($AD3="c",4,IF($AD3="s",5,0))))))</f>
        <v>13</v>
      </c>
      <c r="AJ3" s="105">
        <f>IF(AI3="L",VLOOKUP(AH3,'Busking Places'!$N$9:$R$28,IF($AD3="w",3,IF($AD3="c",4,IF($AD3="s",5,0)))),IF(AND(ROW(AJ3)-COLUMN(AJ3)=ODD(ROW(AJ3)-COLUMN(AJ3)),COLUMN(AJ3)&gt;32,COLUMN(AJ3)&lt;35),"L",VLOOKUP(AI3,'Busking Places'!$N$9:$R$28,IF($AD3="w",3,IF($AD3="c",4,IF($AD3="s",5,0))))))</f>
        <v>11</v>
      </c>
      <c r="AL3" s="96" t="str">
        <f>IF(AE3="L","LUNCH",VLOOKUP(AE3,'Busking Places'!$A$3:$B$31,2,0))</f>
        <v>Gt St Mary's</v>
      </c>
      <c r="AM3" s="96" t="str">
        <f>IF(AF3="L","LUNCH",VLOOKUP(AF3,'Busking Places'!$A$3:$B$31,2,0))</f>
        <v>Laundress Green</v>
      </c>
      <c r="AN3" s="96" t="str">
        <f>IF(AG3="L","LUNCH",VLOOKUP(AG3,'Busking Places'!$A$3:$B$31,2,0))</f>
        <v>Regent Terrace, S</v>
      </c>
      <c r="AO3" s="96" t="str">
        <f>IF(AH3="L","LUNCH",VLOOKUP(AH3,'Busking Places'!$A$3:$B$31,2,0))</f>
        <v>LUNCH</v>
      </c>
      <c r="AP3" s="96" t="str">
        <f>IF(AI3="L","LUNCH",VLOOKUP(AI3,'Busking Places'!$A$3:$B$31,2,0))</f>
        <v>Covent Garden</v>
      </c>
      <c r="AQ3" s="96" t="str">
        <f>IF(AJ3="L","LUNCH",VLOOKUP(AJ3,'Busking Places'!$A$3:$B$31,2,0))</f>
        <v>Alexandra Arms</v>
      </c>
    </row>
    <row r="4" spans="1:43" ht="12.75">
      <c r="A4" s="11" t="s">
        <v>861</v>
      </c>
      <c r="B4" s="9">
        <v>7</v>
      </c>
      <c r="C4" s="9" t="s">
        <v>1057</v>
      </c>
      <c r="D4" s="9" t="s">
        <v>1081</v>
      </c>
      <c r="E4" s="11" t="s">
        <v>1082</v>
      </c>
      <c r="F4" s="191" t="s">
        <v>1083</v>
      </c>
      <c r="H4" s="9" t="s">
        <v>1084</v>
      </c>
      <c r="I4" s="9">
        <f>MATCH("Grimsby MM",A$1:A$66,0)</f>
        <v>3</v>
      </c>
      <c r="J4" s="96">
        <v>1</v>
      </c>
      <c r="K4" s="9" t="s">
        <v>1085</v>
      </c>
      <c r="M4" s="11" t="s">
        <v>1086</v>
      </c>
      <c r="O4" s="190">
        <v>41701</v>
      </c>
      <c r="P4" s="9">
        <f>IF(ISERROR(FIND(P$2,$C4)),0,$B4)</f>
        <v>7</v>
      </c>
      <c r="Q4" s="9">
        <f>IF(ISERROR(FIND(Q$2,$C4)),0,$B4)</f>
        <v>0</v>
      </c>
      <c r="R4" s="9">
        <f>IF(ISERROR(FIND(R$2,$C4)),0,$B4)</f>
        <v>0</v>
      </c>
      <c r="S4" s="63">
        <f>IF(ISERROR(FIND(S$2,$C4)),0,1)</f>
        <v>1</v>
      </c>
      <c r="T4" s="63">
        <f>IF(ISERROR(FIND(T$2,$C4)),0,1)</f>
        <v>0</v>
      </c>
      <c r="U4" s="63">
        <f>IF(ISERROR(FIND(U$2,$C4)),0,1)</f>
        <v>0</v>
      </c>
      <c r="V4" s="9">
        <f>IF(ISERROR(FIND(LEFT(V$2,1),$D4)),0,1)</f>
        <v>0</v>
      </c>
      <c r="W4" s="9">
        <f>IF(ISERROR(FIND(LEFT(W$2,1),$D4)),0,1)</f>
        <v>0</v>
      </c>
      <c r="X4" s="9">
        <f>IF(ISERROR(FIND(LEFT(X$2,1),$D4)),0,1)</f>
        <v>0</v>
      </c>
      <c r="Y4" s="9">
        <f>IF(ISERROR(FIND(LEFT(Y$2,1),$D4)),0,1)</f>
        <v>0</v>
      </c>
      <c r="Z4" s="9">
        <f>IF(ISERROR(FIND(LEFT(Z$2,1),$D4)),0,1)</f>
        <v>0</v>
      </c>
      <c r="AA4" s="9">
        <f>IF(ISERROR(FIND(LEFT(AA$2,1),$D4)),0,1)</f>
        <v>0</v>
      </c>
      <c r="AB4" s="9">
        <f>IF(ISERROR(FIND(LEFT(AB$2,1),$D4)),0,1)</f>
        <v>1</v>
      </c>
      <c r="AD4" s="16" t="s">
        <v>1080</v>
      </c>
      <c r="AE4" s="109">
        <f>AE3</f>
        <v>19</v>
      </c>
      <c r="AF4" s="192">
        <v>17</v>
      </c>
      <c r="AG4" s="192">
        <v>15</v>
      </c>
      <c r="AH4" s="192" t="s">
        <v>1087</v>
      </c>
      <c r="AI4" s="192">
        <v>13</v>
      </c>
      <c r="AJ4" s="192">
        <v>11</v>
      </c>
      <c r="AL4" s="96" t="str">
        <f>IF(AE4="L","LUNCH",VLOOKUP(AE4,'Busking Places'!$A$3:$B$31,2,0))</f>
        <v>Gt St Mary's</v>
      </c>
      <c r="AM4" s="96" t="str">
        <f>IF(AF4="L","LUNCH",VLOOKUP(AF4,'Busking Places'!$A$3:$B$31,2,0))</f>
        <v>Laundress Green</v>
      </c>
      <c r="AN4" s="96" t="str">
        <f>IF(AG4="L","LUNCH",VLOOKUP(AG4,'Busking Places'!$A$3:$B$31,2,0))</f>
        <v>Regent Terrace, S</v>
      </c>
      <c r="AO4" s="96" t="str">
        <f>IF(AH4="L","LUNCH",VLOOKUP(AH4,'Busking Places'!$A$3:$B$31,2,0))</f>
        <v>LUNCH</v>
      </c>
      <c r="AP4" s="96" t="str">
        <f>IF(AI4="L","LUNCH",VLOOKUP(AI4,'Busking Places'!$A$3:$B$31,2,0))</f>
        <v>Covent Garden</v>
      </c>
      <c r="AQ4" s="96" t="str">
        <f>IF(AJ4="L","LUNCH",VLOOKUP(AJ4,'Busking Places'!$A$3:$B$31,2,0))</f>
        <v>Alexandra Arms</v>
      </c>
    </row>
    <row r="5" spans="1:43" ht="24.75">
      <c r="A5" s="65" t="s">
        <v>837</v>
      </c>
      <c r="B5" s="9">
        <v>8</v>
      </c>
      <c r="C5" s="9" t="s">
        <v>1057</v>
      </c>
      <c r="D5" s="9" t="s">
        <v>907</v>
      </c>
      <c r="E5" s="11" t="s">
        <v>1088</v>
      </c>
      <c r="F5" s="191" t="s">
        <v>1089</v>
      </c>
      <c r="H5" s="9" t="s">
        <v>1090</v>
      </c>
      <c r="I5" s="9">
        <f>MATCH("Jerusalem Jammers",A$1:A$66,0)</f>
        <v>6</v>
      </c>
      <c r="J5" s="96">
        <v>2</v>
      </c>
      <c r="K5" s="9" t="s">
        <v>1091</v>
      </c>
      <c r="L5" s="11" t="s">
        <v>1092</v>
      </c>
      <c r="M5" s="11" t="s">
        <v>1093</v>
      </c>
      <c r="O5" s="190">
        <v>41701</v>
      </c>
      <c r="P5" s="9">
        <f>IF(ISERROR(FIND(P$2,$C5)),0,$B5)</f>
        <v>8</v>
      </c>
      <c r="Q5" s="9">
        <f>IF(ISERROR(FIND(Q$2,$C5)),0,$B5)</f>
        <v>0</v>
      </c>
      <c r="R5" s="9">
        <f>IF(ISERROR(FIND(R$2,$C5)),0,$B5)</f>
        <v>0</v>
      </c>
      <c r="S5" s="63">
        <f>IF(ISERROR(FIND(S$2,$C5)),0,1)</f>
        <v>1</v>
      </c>
      <c r="T5" s="63">
        <f>IF(ISERROR(FIND(T$2,$C5)),0,1)</f>
        <v>0</v>
      </c>
      <c r="U5" s="63">
        <f>IF(ISERROR(FIND(U$2,$C5)),0,1)</f>
        <v>0</v>
      </c>
      <c r="V5" s="9">
        <f>IF(ISERROR(FIND(LEFT(V$2,1),$D5)),0,1)</f>
        <v>0</v>
      </c>
      <c r="W5" s="9">
        <f>IF(ISERROR(FIND(LEFT(W$2,1),$D5)),0,1)</f>
        <v>0</v>
      </c>
      <c r="X5" s="9">
        <f>IF(ISERROR(FIND(LEFT(X$2,1),$D5)),0,1)</f>
        <v>0</v>
      </c>
      <c r="Y5" s="9">
        <f>IF(ISERROR(FIND(LEFT(Y$2,1),$D5)),0,1)</f>
        <v>0</v>
      </c>
      <c r="Z5" s="9">
        <f>IF(ISERROR(FIND(LEFT(Z$2,1),$D5)),0,1)</f>
        <v>1</v>
      </c>
      <c r="AA5" s="9">
        <f>IF(ISERROR(FIND(LEFT(AA$2,1),$D5)),0,1)</f>
        <v>0</v>
      </c>
      <c r="AB5" s="9">
        <f>IF(ISERROR(FIND(LEFT(AB$2,1),$D5)),0,1)</f>
        <v>0</v>
      </c>
      <c r="AD5" s="16" t="s">
        <v>1080</v>
      </c>
      <c r="AE5" s="109">
        <v>20</v>
      </c>
      <c r="AF5" s="105">
        <f>IF(AE5="L",VLOOKUP(AD5,'Busking Places'!$N$9:$R$28,IF($AD5="w",3,IF($AD5="c",4,IF($AD5="s",5,0)))),IF(AND(ROW(AF5)-COLUMN(AF5)=ODD(ROW(AF5)-COLUMN(AF5)),COLUMN(AF5)&gt;32,COLUMN(AF5)&lt;35),"L",VLOOKUP(AE5,'Busking Places'!$N$9:$R$28,IF($AD5="w",3,IF($AD5="c",4,IF($AD5="s",5,0))))))</f>
        <v>18</v>
      </c>
      <c r="AG5" s="105">
        <f>IF(AF5="L",VLOOKUP(AE5,'Busking Places'!$N$9:$R$28,IF($AD5="w",3,IF($AD5="c",4,IF($AD5="s",5,0)))),IF(AND(ROW(AG5)-COLUMN(AG5)=ODD(ROW(AG5)-COLUMN(AG5)),COLUMN(AG5)&gt;32,COLUMN(AG5)&lt;35),"L",VLOOKUP(AF5,'Busking Places'!$N$9:$R$28,IF($AD5="w",3,IF($AD5="c",4,IF($AD5="s",5,0))))))</f>
        <v>16</v>
      </c>
      <c r="AH5" s="105" t="str">
        <f>IF(AG5="L",VLOOKUP(AF5,'Busking Places'!$N$9:$R$28,IF($AD5="w",3,IF($AD5="c",4,IF($AD5="s",5,0)))),IF(AND(ROW(AH5)-COLUMN(AH5)=ODD(ROW(AH5)-COLUMN(AH5)),COLUMN(AH5)&gt;32,COLUMN(AH5)&lt;35),"L",VLOOKUP(AG5,'Busking Places'!$N$9:$R$28,IF($AD5="w",3,IF($AD5="c",4,IF($AD5="s",5,0))))))</f>
        <v>L</v>
      </c>
      <c r="AI5" s="105">
        <f>IF(AH5="L",VLOOKUP(AG5,'Busking Places'!$N$9:$R$28,IF($AD5="w",3,IF($AD5="c",4,IF($AD5="s",5,0)))),IF(AND(ROW(AI5)-COLUMN(AI5)=ODD(ROW(AI5)-COLUMN(AI5)),COLUMN(AI5)&gt;32,COLUMN(AI5)&lt;35),"L",VLOOKUP(AH5,'Busking Places'!$N$9:$R$28,IF($AD5="w",3,IF($AD5="c",4,IF($AD5="s",5,0))))))</f>
        <v>14</v>
      </c>
      <c r="AJ5" s="105">
        <f>IF(AI5="L",VLOOKUP(AH5,'Busking Places'!$N$9:$R$28,IF($AD5="w",3,IF($AD5="c",4,IF($AD5="s",5,0)))),IF(AND(ROW(AJ5)-COLUMN(AJ5)=ODD(ROW(AJ5)-COLUMN(AJ5)),COLUMN(AJ5)&gt;32,COLUMN(AJ5)&lt;35),"L",VLOOKUP(AI5,'Busking Places'!$N$9:$R$28,IF($AD5="w",3,IF($AD5="c",4,IF($AD5="s",5,0))))))</f>
        <v>12</v>
      </c>
      <c r="AL5" s="96" t="str">
        <f>IF(AE5="L","LUNCH",VLOOKUP(AE5,'Busking Places'!$A$3:$B$31,2,0))</f>
        <v>Sidney Street</v>
      </c>
      <c r="AM5" s="96" t="str">
        <f>IF(AF5="L","LUNCH",VLOOKUP(AF5,'Busking Places'!$A$3:$B$31,2,0))</f>
        <v>Guildhall, Mkt. Hill</v>
      </c>
      <c r="AN5" s="96" t="str">
        <f>IF(AG5="L","LUNCH",VLOOKUP(AG5,'Busking Places'!$A$3:$B$31,2,0))</f>
        <v>Regent Terrace, N</v>
      </c>
      <c r="AO5" s="96" t="str">
        <f>IF(AH5="L","LUNCH",VLOOKUP(AH5,'Busking Places'!$A$3:$B$31,2,0))</f>
        <v>LUNCH</v>
      </c>
      <c r="AP5" s="96" t="str">
        <f>IF(AI5="L","LUNCH",VLOOKUP(AI5,'Busking Places'!$A$3:$B$31,2,0))</f>
        <v>Mawson Road</v>
      </c>
      <c r="AQ5" s="96" t="str">
        <f>IF(AJ5="L","LUNCH",VLOOKUP(AJ5,'Busking Places'!$A$3:$B$31,2,0))</f>
        <v>The Cambridge Blue</v>
      </c>
    </row>
    <row r="6" spans="1:43" ht="12.75">
      <c r="A6" s="102" t="s">
        <v>877</v>
      </c>
      <c r="B6" s="9">
        <v>11</v>
      </c>
      <c r="C6" s="9" t="s">
        <v>1057</v>
      </c>
      <c r="D6" s="9" t="s">
        <v>907</v>
      </c>
      <c r="E6" s="11" t="s">
        <v>1094</v>
      </c>
      <c r="F6" s="191" t="s">
        <v>1095</v>
      </c>
      <c r="H6" s="9" t="s">
        <v>1096</v>
      </c>
      <c r="I6" s="9">
        <f>MATCH("Anstey Royale Chalfont",A$1:A$66,0)</f>
        <v>5</v>
      </c>
      <c r="J6" s="96">
        <v>2</v>
      </c>
      <c r="K6" s="9" t="s">
        <v>907</v>
      </c>
      <c r="M6" s="11" t="s">
        <v>1097</v>
      </c>
      <c r="O6" s="190">
        <v>41701</v>
      </c>
      <c r="P6" s="9">
        <f>IF(ISERROR(FIND(P$2,$C6)),0,$B6)</f>
        <v>11</v>
      </c>
      <c r="Q6" s="9">
        <f>IF(ISERROR(FIND(Q$2,$C6)),0,$B6)</f>
        <v>0</v>
      </c>
      <c r="R6" s="9">
        <f>IF(ISERROR(FIND(R$2,$C6)),0,$B6)</f>
        <v>0</v>
      </c>
      <c r="S6" s="63">
        <f>IF(ISERROR(FIND(S$2,$C6)),0,1)</f>
        <v>1</v>
      </c>
      <c r="T6" s="63">
        <f>IF(ISERROR(FIND(T$2,$C6)),0,1)</f>
        <v>0</v>
      </c>
      <c r="U6" s="63">
        <f>IF(ISERROR(FIND(U$2,$C6)),0,1)</f>
        <v>0</v>
      </c>
      <c r="V6" s="9">
        <f>IF(ISERROR(FIND(LEFT(V$2,1),$D6)),0,1)</f>
        <v>0</v>
      </c>
      <c r="W6" s="9">
        <f>IF(ISERROR(FIND(LEFT(W$2,1),$D6)),0,1)</f>
        <v>0</v>
      </c>
      <c r="X6" s="9">
        <f>IF(ISERROR(FIND(LEFT(X$2,1),$D6)),0,1)</f>
        <v>0</v>
      </c>
      <c r="Y6" s="9">
        <f>IF(ISERROR(FIND(LEFT(Y$2,1),$D6)),0,1)</f>
        <v>0</v>
      </c>
      <c r="Z6" s="9">
        <f>IF(ISERROR(FIND(LEFT(Z$2,1),$D6)),0,1)</f>
        <v>1</v>
      </c>
      <c r="AA6" s="9">
        <f>IF(ISERROR(FIND(LEFT(AA$2,1),$D6)),0,1)</f>
        <v>0</v>
      </c>
      <c r="AB6" s="9">
        <f>IF(ISERROR(FIND(LEFT(AB$2,1),$D6)),0,1)</f>
        <v>0</v>
      </c>
      <c r="AD6" s="16" t="s">
        <v>1080</v>
      </c>
      <c r="AE6" s="109">
        <f>AE5</f>
        <v>20</v>
      </c>
      <c r="AF6" s="192">
        <v>18</v>
      </c>
      <c r="AG6" s="192">
        <v>16</v>
      </c>
      <c r="AH6" s="192" t="s">
        <v>1087</v>
      </c>
      <c r="AI6" s="192">
        <v>14</v>
      </c>
      <c r="AJ6" s="192">
        <v>12</v>
      </c>
      <c r="AL6" s="96" t="str">
        <f>IF(AE6="L","LUNCH",VLOOKUP(AE6,'Busking Places'!$A$3:$B$31,2,0))</f>
        <v>Sidney Street</v>
      </c>
      <c r="AM6" s="96" t="str">
        <f>IF(AF6="L","LUNCH",VLOOKUP(AF6,'Busking Places'!$A$3:$B$31,2,0))</f>
        <v>Guildhall, Mkt. Hill</v>
      </c>
      <c r="AN6" s="96" t="str">
        <f>IF(AG6="L","LUNCH",VLOOKUP(AG6,'Busking Places'!$A$3:$B$31,2,0))</f>
        <v>Regent Terrace, N</v>
      </c>
      <c r="AO6" s="96" t="str">
        <f>IF(AH6="L","LUNCH",VLOOKUP(AH6,'Busking Places'!$A$3:$B$31,2,0))</f>
        <v>LUNCH</v>
      </c>
      <c r="AP6" s="96" t="str">
        <f>IF(AI6="L","LUNCH",VLOOKUP(AI6,'Busking Places'!$A$3:$B$31,2,0))</f>
        <v>Mawson Road</v>
      </c>
      <c r="AQ6" s="96" t="str">
        <f>IF(AJ6="L","LUNCH",VLOOKUP(AJ6,'Busking Places'!$A$3:$B$31,2,0))</f>
        <v>The Cambridge Blue</v>
      </c>
    </row>
    <row r="7" spans="1:43" s="63" customFormat="1" ht="24.75">
      <c r="A7" s="64" t="s">
        <v>869</v>
      </c>
      <c r="B7" s="63">
        <v>0</v>
      </c>
      <c r="D7" s="63" t="s">
        <v>1074</v>
      </c>
      <c r="E7" s="64" t="s">
        <v>1098</v>
      </c>
      <c r="F7" s="193" t="s">
        <v>1099</v>
      </c>
      <c r="G7" s="194" t="s">
        <v>443</v>
      </c>
      <c r="H7" s="195" t="s">
        <v>1100</v>
      </c>
      <c r="I7" s="63">
        <f>MATCH("Kemp's Men of Norwich",A$1:A$66,0)</f>
        <v>8</v>
      </c>
      <c r="J7" s="196">
        <v>3</v>
      </c>
      <c r="L7" s="64" t="s">
        <v>1101</v>
      </c>
      <c r="M7" s="64" t="str">
        <f>"Not a separate side but parts of KMoN, ESMM("&amp;TEXT(MATCH("East Suffolk MM",A$1:A$66,0),"0")&amp;"), PM("&amp;TEXT(MATCH("Peterborough M",A$1:A$66,0),"0")&amp;")"</f>
        <v>Not a separate side but parts of KMoN, ESMM(10), PM(9)</v>
      </c>
      <c r="N7" s="197">
        <v>41691</v>
      </c>
      <c r="P7" s="63">
        <f>IF(ISERROR(FIND(P$2,$C7)),0,$B7)</f>
        <v>0</v>
      </c>
      <c r="Q7" s="63">
        <f>IF(ISERROR(FIND(Q$2,$C7)),0,$B7)</f>
        <v>0</v>
      </c>
      <c r="R7" s="63">
        <f>IF(ISERROR(FIND(R$2,$C7)),0,$B7)</f>
        <v>0</v>
      </c>
      <c r="S7" s="63">
        <f>IF(ISERROR(FIND(S$2,$C7)),0,1)</f>
        <v>0</v>
      </c>
      <c r="T7" s="63">
        <f>IF(ISERROR(FIND(T$2,$C7)),0,1)</f>
        <v>0</v>
      </c>
      <c r="U7" s="63">
        <f>IF(ISERROR(FIND(U$2,$C7)),0,1)</f>
        <v>0</v>
      </c>
      <c r="V7" s="63">
        <f>IF(ISERROR(FIND(LEFT(V$2,1),$D7)),0,1)</f>
        <v>0</v>
      </c>
      <c r="W7" s="63">
        <f>IF(ISERROR(FIND(LEFT(W$2,1),$D7)),0,1)</f>
        <v>1</v>
      </c>
      <c r="X7" s="63">
        <f>IF(ISERROR(FIND(LEFT(X$2,1),$D7)),0,1)</f>
        <v>0</v>
      </c>
      <c r="Y7" s="63">
        <f>IF(ISERROR(FIND(LEFT(Y$2,1),$D7)),0,1)</f>
        <v>0</v>
      </c>
      <c r="Z7" s="63">
        <f>IF(ISERROR(FIND(LEFT(Z$2,1),$D7)),0,1)</f>
        <v>0</v>
      </c>
      <c r="AA7" s="63">
        <f>IF(ISERROR(FIND(LEFT(AA$2,1),$D7)),0,1)</f>
        <v>0</v>
      </c>
      <c r="AB7" s="63">
        <f>IF(ISERROR(FIND(LEFT(AB$2,1),$D7)),0,1)</f>
        <v>0</v>
      </c>
      <c r="AD7" s="198" t="s">
        <v>1102</v>
      </c>
      <c r="AE7" s="198" t="s">
        <v>1102</v>
      </c>
      <c r="AF7" s="198" t="s">
        <v>1102</v>
      </c>
      <c r="AG7" s="198" t="s">
        <v>1102</v>
      </c>
      <c r="AH7" s="198" t="s">
        <v>1102</v>
      </c>
      <c r="AI7" s="125">
        <v>18</v>
      </c>
      <c r="AJ7" s="125">
        <v>19</v>
      </c>
      <c r="AL7" s="96"/>
      <c r="AM7" s="96"/>
      <c r="AN7" s="96"/>
      <c r="AO7" s="96"/>
      <c r="AP7" s="96" t="str">
        <f>IF(AI7="L","LUNCH",VLOOKUP(AI7,'Busking Places'!$A$3:$B$31,2,0))</f>
        <v>Guildhall, Mkt. Hill</v>
      </c>
      <c r="AQ7" s="96" t="str">
        <f>IF(AJ7="L","LUNCH",VLOOKUP(AJ7,'Busking Places'!$A$3:$B$31,2,0))</f>
        <v>Gt St Mary's</v>
      </c>
    </row>
    <row r="8" spans="1:43" s="63" customFormat="1" ht="24.75" customHeight="1">
      <c r="A8" s="64" t="s">
        <v>878</v>
      </c>
      <c r="B8" s="63">
        <v>15</v>
      </c>
      <c r="C8" s="64" t="s">
        <v>1103</v>
      </c>
      <c r="D8" s="63" t="s">
        <v>1074</v>
      </c>
      <c r="E8" s="64" t="s">
        <v>1104</v>
      </c>
      <c r="F8" s="199" t="s">
        <v>1105</v>
      </c>
      <c r="H8" s="63" t="s">
        <v>1106</v>
      </c>
      <c r="I8" s="63">
        <f>MATCH("Great Eastern M",A$1:A$66,0)</f>
        <v>7</v>
      </c>
      <c r="J8" s="196">
        <v>3</v>
      </c>
      <c r="L8" s="64"/>
      <c r="M8" s="64" t="s">
        <v>1107</v>
      </c>
      <c r="N8" s="197">
        <v>41625</v>
      </c>
      <c r="P8" s="63">
        <f>IF(ISERROR(FIND(P$2,$C8)),0,$B8)</f>
        <v>15</v>
      </c>
      <c r="Q8" s="63">
        <f>IF(ISERROR(FIND(Q$2,$C8)),0,$B8)</f>
        <v>15</v>
      </c>
      <c r="R8" s="63">
        <f>IF(ISERROR(FIND(R$2,$C8)),0,$B8)</f>
        <v>0</v>
      </c>
      <c r="S8" s="200">
        <f>IF(ISERROR(FIND(S$2,$C8)),0,1)</f>
        <v>1</v>
      </c>
      <c r="T8" s="200">
        <f>IF(ISERROR(FIND(T$2,$C8)),0,1)</f>
        <v>1</v>
      </c>
      <c r="U8" s="63">
        <f>IF(ISERROR(FIND(U$2,$C8)),0,1)</f>
        <v>0</v>
      </c>
      <c r="V8" s="63">
        <f>IF(ISERROR(FIND(LEFT(V$2,1),$D8)),0,1)</f>
        <v>0</v>
      </c>
      <c r="W8" s="63">
        <f>IF(ISERROR(FIND(LEFT(W$2,1),$D8)),0,1)</f>
        <v>1</v>
      </c>
      <c r="X8" s="63">
        <f>IF(ISERROR(FIND(LEFT(X$2,1),$D8)),0,1)</f>
        <v>0</v>
      </c>
      <c r="Y8" s="63">
        <f>IF(ISERROR(FIND(LEFT(Y$2,1),$D8)),0,1)</f>
        <v>0</v>
      </c>
      <c r="Z8" s="63">
        <f>IF(ISERROR(FIND(LEFT(Z$2,1),$D8)),0,1)</f>
        <v>0</v>
      </c>
      <c r="AA8" s="63">
        <f>IF(ISERROR(FIND(LEFT(AA$2,1),$D8)),0,1)</f>
        <v>0</v>
      </c>
      <c r="AB8" s="63">
        <f>IF(ISERROR(FIND(LEFT(AB$2,1),$D8)),0,1)</f>
        <v>0</v>
      </c>
      <c r="AD8" s="198" t="s">
        <v>1080</v>
      </c>
      <c r="AE8" s="201">
        <v>4</v>
      </c>
      <c r="AF8" s="125">
        <f>IF(AE8="L",VLOOKUP(AD8,'Busking Places'!$N$9:$R$28,IF($AD8="w",3,IF($AD8="c",4,IF($AD8="s",5,0)))),IF(AND(ROW(AF8)-COLUMN(AF8)=ODD(ROW(AF8)-COLUMN(AF8)),COLUMN(AF8)&gt;32,COLUMN(AF8)&lt;35),"L",VLOOKUP(AE8,'Busking Places'!$N$9:$R$28,IF($AD8="w",3,IF($AD8="c",4,IF($AD8="s",5,0))))))</f>
        <v>2</v>
      </c>
      <c r="AG8" s="125" t="str">
        <f>IF(AF8="L",VLOOKUP(AE8,'Busking Places'!$N$9:$R$28,IF($AD8="w",3,IF($AD8="c",4,IF($AD8="s",5,0)))),IF(AND(ROW(AG8)-COLUMN(AG8)=ODD(ROW(AG8)-COLUMN(AG8)),COLUMN(AG8)&gt;32,COLUMN(AG8)&lt;35),"L",VLOOKUP(AF8,'Busking Places'!$N$9:$R$28,IF($AD8="w",3,IF($AD8="c",4,IF($AD8="s",5,0))))))</f>
        <v>L</v>
      </c>
      <c r="AH8" s="125">
        <f>IF(AG8="L",VLOOKUP(AF8,'Busking Places'!$N$9:$R$28,IF($AD8="w",3,IF($AD8="c",4,IF($AD8="s",5,0)))),IF(AND(ROW(AH8)-COLUMN(AH8)=ODD(ROW(AH8)-COLUMN(AH8)),COLUMN(AH8)&gt;32,COLUMN(AH8)&lt;35),"L",VLOOKUP(AG8,'Busking Places'!$N$9:$R$28,IF($AD8="w",3,IF($AD8="c",4,IF($AD8="s",5,0))))))</f>
        <v>20</v>
      </c>
      <c r="AI8" s="125">
        <f>IF(AH8="L",VLOOKUP(AG8,'Busking Places'!$N$9:$R$28,IF($AD8="w",3,IF($AD8="c",4,IF($AD8="s",5,0)))),IF(AND(ROW(AI8)-COLUMN(AI8)=ODD(ROW(AI8)-COLUMN(AI8)),COLUMN(AI8)&gt;32,COLUMN(AI8)&lt;35),"L",VLOOKUP(AH8,'Busking Places'!$N$9:$R$28,IF($AD8="w",3,IF($AD8="c",4,IF($AD8="s",5,0))))))</f>
        <v>18</v>
      </c>
      <c r="AJ8" s="125">
        <f>IF(AI8="L",VLOOKUP(AH8,'Busking Places'!$N$9:$R$28,IF($AD8="w",3,IF($AD8="c",4,IF($AD8="s",5,0)))),IF(AND(ROW(AJ8)-COLUMN(AJ8)=ODD(ROW(AJ8)-COLUMN(AJ8)),COLUMN(AJ8)&gt;32,COLUMN(AJ8)&lt;35),"L",VLOOKUP(AI8,'Busking Places'!$N$9:$R$28,IF($AD8="w",3,IF($AD8="c",4,IF($AD8="s",5,0))))))</f>
        <v>16</v>
      </c>
      <c r="AL8" s="96" t="str">
        <f>IF(AE8="L","LUNCH",VLOOKUP(AE8,'Busking Places'!$A$3:$B$31,2,0))</f>
        <v>Fort St George</v>
      </c>
      <c r="AM8" s="96" t="str">
        <f>IF(AF8="L","LUNCH",VLOOKUP(AF8,'Busking Places'!$A$3:$B$31,2,0))</f>
        <v>The Maypole</v>
      </c>
      <c r="AN8" s="96" t="str">
        <f>IF(AG8="L","LUNCH",VLOOKUP(AG8,'Busking Places'!$A$3:$B$31,2,0))</f>
        <v>LUNCH</v>
      </c>
      <c r="AO8" s="96" t="str">
        <f>IF(AH8="L","LUNCH",VLOOKUP(AH8,'Busking Places'!$A$3:$B$31,2,0))</f>
        <v>Sidney Street</v>
      </c>
      <c r="AP8" s="96" t="str">
        <f>IF(AI8="L","LUNCH",VLOOKUP(AI8,'Busking Places'!$A$3:$B$31,2,0))</f>
        <v>Guildhall, Mkt. Hill</v>
      </c>
      <c r="AQ8" s="96" t="str">
        <f>IF(AJ8="L","LUNCH",VLOOKUP(AJ8,'Busking Places'!$A$3:$B$31,2,0))</f>
        <v>Regent Terrace, N</v>
      </c>
    </row>
    <row r="9" spans="1:43" s="63" customFormat="1" ht="21">
      <c r="A9" s="64" t="s">
        <v>886</v>
      </c>
      <c r="B9" s="63">
        <v>8</v>
      </c>
      <c r="C9" s="63" t="s">
        <v>1058</v>
      </c>
      <c r="D9" s="63" t="s">
        <v>1074</v>
      </c>
      <c r="E9" s="64" t="s">
        <v>1108</v>
      </c>
      <c r="F9" s="199" t="s">
        <v>440</v>
      </c>
      <c r="G9" s="63" t="s">
        <v>438</v>
      </c>
      <c r="H9" s="63" t="s">
        <v>439</v>
      </c>
      <c r="I9" s="63">
        <f>MATCH("Great Eastern M",A$1:A$66,0)</f>
        <v>7</v>
      </c>
      <c r="J9" s="196">
        <v>3</v>
      </c>
      <c r="L9" s="64" t="s">
        <v>1109</v>
      </c>
      <c r="M9" s="64" t="s">
        <v>1107</v>
      </c>
      <c r="N9" s="197">
        <v>41662</v>
      </c>
      <c r="P9" s="63">
        <f>IF(ISERROR(FIND(P$2,$C9)),0,$B9)</f>
        <v>0</v>
      </c>
      <c r="Q9" s="63">
        <f>IF(ISERROR(FIND(Q$2,$C9)),0,$B9)</f>
        <v>8</v>
      </c>
      <c r="R9" s="63">
        <f>IF(ISERROR(FIND(R$2,$C9)),0,$B9)</f>
        <v>0</v>
      </c>
      <c r="S9" s="63">
        <f>IF(ISERROR(FIND(S$2,$C9)),0,1)</f>
        <v>0</v>
      </c>
      <c r="T9" s="63">
        <f>IF(ISERROR(FIND(T$2,$C9)),0,1)</f>
        <v>1</v>
      </c>
      <c r="U9" s="63">
        <f>IF(ISERROR(FIND(U$2,$C9)),0,1)</f>
        <v>0</v>
      </c>
      <c r="V9" s="63">
        <f>IF(ISERROR(FIND(LEFT(V$2,1),$D9)),0,1)</f>
        <v>0</v>
      </c>
      <c r="W9" s="63">
        <f>IF(ISERROR(FIND(LEFT(W$2,1),$D9)),0,1)</f>
        <v>1</v>
      </c>
      <c r="X9" s="63">
        <f>IF(ISERROR(FIND(LEFT(X$2,1),$D9)),0,1)</f>
        <v>0</v>
      </c>
      <c r="Y9" s="63">
        <f>IF(ISERROR(FIND(LEFT(Y$2,1),$D9)),0,1)</f>
        <v>0</v>
      </c>
      <c r="Z9" s="63">
        <f>IF(ISERROR(FIND(LEFT(Z$2,1),$D9)),0,1)</f>
        <v>0</v>
      </c>
      <c r="AA9" s="63">
        <f>IF(ISERROR(FIND(LEFT(AA$2,1),$D9)),0,1)</f>
        <v>0</v>
      </c>
      <c r="AB9" s="63">
        <f>IF(ISERROR(FIND(LEFT(AB$2,1),$D9)),0,1)</f>
        <v>0</v>
      </c>
      <c r="AD9" s="198" t="s">
        <v>1110</v>
      </c>
      <c r="AE9" s="201">
        <v>16</v>
      </c>
      <c r="AF9" s="125">
        <f>IF(AE9="L",VLOOKUP(AD9,'Busking Places'!$N$9:$R$28,IF($AD9="w",3,IF($AD9="c",4,IF($AD9="s",5,0)))),IF(AND(ROW(AF9)-COLUMN(AF9)=ODD(ROW(AF9)-COLUMN(AF9)),COLUMN(AF9)&gt;32,COLUMN(AF9)&lt;35),"L",VLOOKUP(AE9,'Busking Places'!$N$9:$R$28,IF($AD9="w",3,IF($AD9="c",4,IF($AD9="s",5,0))))))</f>
        <v>18</v>
      </c>
      <c r="AG9" s="125">
        <f>IF(AF9="L",VLOOKUP(AE9,'Busking Places'!$N$9:$R$28,IF($AD9="w",3,IF($AD9="c",4,IF($AD9="s",5,0)))),IF(AND(ROW(AG9)-COLUMN(AG9)=ODD(ROW(AG9)-COLUMN(AG9)),COLUMN(AG9)&gt;32,COLUMN(AG9)&lt;35),"L",VLOOKUP(AF9,'Busking Places'!$N$9:$R$28,IF($AD9="w",3,IF($AD9="c",4,IF($AD9="s",5,0))))))</f>
        <v>20</v>
      </c>
      <c r="AH9" s="125" t="str">
        <f>IF(AG9="L",VLOOKUP(AF9,'Busking Places'!$N$9:$R$28,IF($AD9="w",3,IF($AD9="c",4,IF($AD9="s",5,0)))),IF(AND(ROW(AH9)-COLUMN(AH9)=ODD(ROW(AH9)-COLUMN(AH9)),COLUMN(AH9)&gt;32,COLUMN(AH9)&lt;35),"L",VLOOKUP(AG9,'Busking Places'!$N$9:$R$28,IF($AD9="w",3,IF($AD9="c",4,IF($AD9="s",5,0))))))</f>
        <v>L</v>
      </c>
      <c r="AI9" s="125">
        <f>IF(AH9="L",VLOOKUP(AG9,'Busking Places'!$N$9:$R$28,IF($AD9="w",3,IF($AD9="c",4,IF($AD9="s",5,0)))),IF(AND(ROW(AI9)-COLUMN(AI9)=ODD(ROW(AI9)-COLUMN(AI9)),COLUMN(AI9)&gt;32,COLUMN(AI9)&lt;35),"L",VLOOKUP(AH9,'Busking Places'!$N$9:$R$28,IF($AD9="w",3,IF($AD9="c",4,IF($AD9="s",5,0))))))</f>
        <v>2</v>
      </c>
      <c r="AJ9" s="125">
        <f>IF(AI9="L",VLOOKUP(AH9,'Busking Places'!$N$9:$R$28,IF($AD9="w",3,IF($AD9="c",4,IF($AD9="s",5,0)))),IF(AND(ROW(AJ9)-COLUMN(AJ9)=ODD(ROW(AJ9)-COLUMN(AJ9)),COLUMN(AJ9)&gt;32,COLUMN(AJ9)&lt;35),"L",VLOOKUP(AI9,'Busking Places'!$N$9:$R$28,IF($AD9="w",3,IF($AD9="c",4,IF($AD9="s",5,0))))))</f>
        <v>4</v>
      </c>
      <c r="AL9" s="96" t="str">
        <f>IF(AE9="L","LUNCH",VLOOKUP(AE9,'Busking Places'!$A$3:$B$31,2,0))</f>
        <v>Regent Terrace, N</v>
      </c>
      <c r="AM9" s="96" t="str">
        <f>IF(AF9="L","LUNCH",VLOOKUP(AF9,'Busking Places'!$A$3:$B$31,2,0))</f>
        <v>Guildhall, Mkt. Hill</v>
      </c>
      <c r="AN9" s="96" t="str">
        <f>IF(AG9="L","LUNCH",VLOOKUP(AG9,'Busking Places'!$A$3:$B$31,2,0))</f>
        <v>Sidney Street</v>
      </c>
      <c r="AO9" s="96" t="str">
        <f>IF(AH9="L","LUNCH",VLOOKUP(AH9,'Busking Places'!$A$3:$B$31,2,0))</f>
        <v>LUNCH</v>
      </c>
      <c r="AP9" s="96" t="str">
        <f>IF(AI9="L","LUNCH",VLOOKUP(AI9,'Busking Places'!$A$3:$B$31,2,0))</f>
        <v>The Maypole</v>
      </c>
      <c r="AQ9" s="96" t="str">
        <f>IF(AJ9="L","LUNCH",VLOOKUP(AJ9,'Busking Places'!$A$3:$B$31,2,0))</f>
        <v>Fort St George</v>
      </c>
    </row>
    <row r="10" spans="1:43" s="63" customFormat="1" ht="12.75">
      <c r="A10" s="64" t="s">
        <v>862</v>
      </c>
      <c r="B10" s="63">
        <v>12</v>
      </c>
      <c r="C10" s="63" t="s">
        <v>1058</v>
      </c>
      <c r="D10" s="63" t="s">
        <v>561</v>
      </c>
      <c r="E10" s="64" t="s">
        <v>1111</v>
      </c>
      <c r="F10" s="199" t="s">
        <v>1112</v>
      </c>
      <c r="G10" s="63" t="s">
        <v>1113</v>
      </c>
      <c r="I10" s="63">
        <f>MATCH("Great Eastern M",A$1:A$66,0)</f>
        <v>7</v>
      </c>
      <c r="J10" s="196">
        <v>3</v>
      </c>
      <c r="L10" s="64" t="s">
        <v>1114</v>
      </c>
      <c r="M10" s="64" t="s">
        <v>1107</v>
      </c>
      <c r="N10" s="197">
        <v>41603</v>
      </c>
      <c r="P10" s="63">
        <f>IF(ISERROR(FIND(P$2,$C10)),0,$B10)</f>
        <v>0</v>
      </c>
      <c r="Q10" s="63">
        <f>IF(ISERROR(FIND(Q$2,$C10)),0,$B10)</f>
        <v>12</v>
      </c>
      <c r="R10" s="63">
        <f>IF(ISERROR(FIND(R$2,$C10)),0,$B10)</f>
        <v>0</v>
      </c>
      <c r="S10" s="63">
        <f>IF(ISERROR(FIND(S$2,$C10)),0,1)</f>
        <v>0</v>
      </c>
      <c r="T10" s="63">
        <f>IF(ISERROR(FIND(T$2,$C10)),0,1)</f>
        <v>1</v>
      </c>
      <c r="U10" s="63">
        <f>IF(ISERROR(FIND(U$2,$C10)),0,1)</f>
        <v>0</v>
      </c>
      <c r="V10" s="63">
        <f>IF(ISERROR(FIND(LEFT(V$2,1),$D10)),0,1)</f>
        <v>0</v>
      </c>
      <c r="W10" s="63">
        <f>IF(ISERROR(FIND(LEFT(W$2,1),$D10)),0,1)</f>
        <v>1</v>
      </c>
      <c r="X10" s="63">
        <f>IF(ISERROR(FIND(LEFT(X$2,1),$D10)),0,1)</f>
        <v>1</v>
      </c>
      <c r="Y10" s="63">
        <f>IF(ISERROR(FIND(LEFT(Y$2,1),$D10)),0,1)</f>
        <v>0</v>
      </c>
      <c r="Z10" s="63">
        <f>IF(ISERROR(FIND(LEFT(Z$2,1),$D10)),0,1)</f>
        <v>0</v>
      </c>
      <c r="AA10" s="63">
        <f>IF(ISERROR(FIND(LEFT(AA$2,1),$D10)),0,1)</f>
        <v>0</v>
      </c>
      <c r="AB10" s="63">
        <f>IF(ISERROR(FIND(LEFT(AB$2,1),$D10)),0,1)</f>
        <v>0</v>
      </c>
      <c r="AD10" s="198" t="s">
        <v>1110</v>
      </c>
      <c r="AE10" s="201">
        <v>12</v>
      </c>
      <c r="AF10" s="125">
        <f>IF(AE10="L",VLOOKUP(AD10,'Busking Places'!$N$9:$R$28,IF($AD10="w",3,IF($AD10="c",4,IF($AD10="s",5,0)))),IF(AND(ROW(AF10)-COLUMN(AF10)=ODD(ROW(AF10)-COLUMN(AF10)),COLUMN(AF10)&gt;32,COLUMN(AF10)&lt;35),"L",VLOOKUP(AE10,'Busking Places'!$N$9:$R$28,IF($AD10="w",3,IF($AD10="c",4,IF($AD10="s",5,0))))))</f>
        <v>14</v>
      </c>
      <c r="AG10" s="125" t="str">
        <f>IF(AF10="L",VLOOKUP(AE10,'Busking Places'!$N$9:$R$28,IF($AD10="w",3,IF($AD10="c",4,IF($AD10="s",5,0)))),IF(AND(ROW(AG10)-COLUMN(AG10)=ODD(ROW(AG10)-COLUMN(AG10)),COLUMN(AG10)&gt;32,COLUMN(AG10)&lt;35),"L",VLOOKUP(AF10,'Busking Places'!$N$9:$R$28,IF($AD10="w",3,IF($AD10="c",4,IF($AD10="s",5,0))))))</f>
        <v>L</v>
      </c>
      <c r="AH10" s="125">
        <f>IF(AG10="L",VLOOKUP(AF10,'Busking Places'!$N$9:$R$28,IF($AD10="w",3,IF($AD10="c",4,IF($AD10="s",5,0)))),IF(AND(ROW(AH10)-COLUMN(AH10)=ODD(ROW(AH10)-COLUMN(AH10)),COLUMN(AH10)&gt;32,COLUMN(AH10)&lt;35),"L",VLOOKUP(AG10,'Busking Places'!$N$9:$R$28,IF($AD10="w",3,IF($AD10="c",4,IF($AD10="s",5,0))))))</f>
        <v>16</v>
      </c>
      <c r="AI10" s="125">
        <f>IF(AH10="L",VLOOKUP(AG10,'Busking Places'!$N$9:$R$28,IF($AD10="w",3,IF($AD10="c",4,IF($AD10="s",5,0)))),IF(AND(ROW(AI10)-COLUMN(AI10)=ODD(ROW(AI10)-COLUMN(AI10)),COLUMN(AI10)&gt;32,COLUMN(AI10)&lt;35),"L",VLOOKUP(AH10,'Busking Places'!$N$9:$R$28,IF($AD10="w",3,IF($AD10="c",4,IF($AD10="s",5,0))))))</f>
        <v>18</v>
      </c>
      <c r="AJ10" s="125">
        <f>IF(AI10="L",VLOOKUP(AH10,'Busking Places'!$N$9:$R$28,IF($AD10="w",3,IF($AD10="c",4,IF($AD10="s",5,0)))),IF(AND(ROW(AJ10)-COLUMN(AJ10)=ODD(ROW(AJ10)-COLUMN(AJ10)),COLUMN(AJ10)&gt;32,COLUMN(AJ10)&lt;35),"L",VLOOKUP(AI10,'Busking Places'!$N$9:$R$28,IF($AD10="w",3,IF($AD10="c",4,IF($AD10="s",5,0))))))</f>
        <v>20</v>
      </c>
      <c r="AL10" s="96" t="str">
        <f>IF(AE10="L","LUNCH",VLOOKUP(AE10,'Busking Places'!$A$3:$B$31,2,0))</f>
        <v>The Cambridge Blue</v>
      </c>
      <c r="AM10" s="96" t="str">
        <f>IF(AF10="L","LUNCH",VLOOKUP(AF10,'Busking Places'!$A$3:$B$31,2,0))</f>
        <v>Mawson Road</v>
      </c>
      <c r="AN10" s="96" t="str">
        <f>IF(AG10="L","LUNCH",VLOOKUP(AG10,'Busking Places'!$A$3:$B$31,2,0))</f>
        <v>LUNCH</v>
      </c>
      <c r="AO10" s="96" t="str">
        <f>IF(AH10="L","LUNCH",VLOOKUP(AH10,'Busking Places'!$A$3:$B$31,2,0))</f>
        <v>Regent Terrace, N</v>
      </c>
      <c r="AP10" s="96" t="str">
        <f>IF(AI10="L","LUNCH",VLOOKUP(AI10,'Busking Places'!$A$3:$B$31,2,0))</f>
        <v>Guildhall, Mkt. Hill</v>
      </c>
      <c r="AQ10" s="96" t="str">
        <f>IF(AJ10="L","LUNCH",VLOOKUP(AJ10,'Busking Places'!$A$3:$B$31,2,0))</f>
        <v>Sidney Street</v>
      </c>
    </row>
    <row r="11" spans="1:43" ht="24.75" customHeight="1">
      <c r="A11" s="65" t="s">
        <v>844</v>
      </c>
      <c r="B11" s="9">
        <v>12</v>
      </c>
      <c r="C11" s="9" t="s">
        <v>1057</v>
      </c>
      <c r="D11" s="9" t="s">
        <v>1115</v>
      </c>
      <c r="E11" s="11" t="s">
        <v>1116</v>
      </c>
      <c r="F11" s="191" t="s">
        <v>1117</v>
      </c>
      <c r="H11" s="9" t="s">
        <v>1118</v>
      </c>
      <c r="J11" s="96"/>
      <c r="K11" s="9" t="s">
        <v>907</v>
      </c>
      <c r="L11" s="11" t="s">
        <v>1119</v>
      </c>
      <c r="M11" s="11" t="s">
        <v>1120</v>
      </c>
      <c r="O11" s="190">
        <v>41701</v>
      </c>
      <c r="P11" s="9">
        <f>IF(ISERROR(FIND(P$2,$C11)),0,$B11)</f>
        <v>12</v>
      </c>
      <c r="Q11" s="9">
        <f>IF(ISERROR(FIND(Q$2,$C11)),0,$B11)</f>
        <v>0</v>
      </c>
      <c r="R11" s="9">
        <f>IF(ISERROR(FIND(R$2,$C11)),0,$B11)</f>
        <v>0</v>
      </c>
      <c r="S11" s="63">
        <f>IF(ISERROR(FIND(S$2,$C11)),0,1)</f>
        <v>1</v>
      </c>
      <c r="T11" s="63">
        <f>IF(ISERROR(FIND(T$2,$C11)),0,1)</f>
        <v>0</v>
      </c>
      <c r="U11" s="63">
        <f>IF(ISERROR(FIND(U$2,$C11)),0,1)</f>
        <v>0</v>
      </c>
      <c r="V11" s="9">
        <f>IF(ISERROR(FIND(LEFT(V$2,1),$D11)),0,1)</f>
        <v>1</v>
      </c>
      <c r="W11" s="9">
        <f>IF(ISERROR(FIND(LEFT(W$2,1),$D11)),0,1)</f>
        <v>0</v>
      </c>
      <c r="X11" s="9">
        <f>IF(ISERROR(FIND(LEFT(X$2,1),$D11)),0,1)</f>
        <v>0</v>
      </c>
      <c r="Y11" s="9">
        <f>IF(ISERROR(FIND(LEFT(Y$2,1),$D11)),0,1)</f>
        <v>0</v>
      </c>
      <c r="Z11" s="9">
        <f>IF(ISERROR(FIND(LEFT(Z$2,1),$D11)),0,1)</f>
        <v>0</v>
      </c>
      <c r="AA11" s="9">
        <f>IF(ISERROR(FIND(LEFT(AA$2,1),$D11)),0,1)</f>
        <v>0</v>
      </c>
      <c r="AB11" s="9">
        <f>IF(ISERROR(FIND(LEFT(AB$2,1),$D11)),0,1)</f>
        <v>0</v>
      </c>
      <c r="AD11" s="16" t="s">
        <v>1121</v>
      </c>
      <c r="AE11" s="109">
        <v>1</v>
      </c>
      <c r="AF11" s="105">
        <f>IF(AE11="L",VLOOKUP(AD11,'Busking Places'!$N$9:$R$28,IF($AD11="w",3,IF($AD11="c",4,IF($AD11="s",5,0)))),IF(AND(ROW(AF11)-COLUMN(AF11)=ODD(ROW(AF11)-COLUMN(AF11)),COLUMN(AF11)&gt;32,COLUMN(AF11)&lt;35),"L",VLOOKUP(AE11,'Busking Places'!$N$9:$R$28,IF($AD11="w",3,IF($AD11="c",4,IF($AD11="s",5,0))))))</f>
        <v>2</v>
      </c>
      <c r="AG11" s="105">
        <f>IF(AF11="L",VLOOKUP(AE11,'Busking Places'!$N$9:$R$28,IF($AD11="w",3,IF($AD11="c",4,IF($AD11="s",5,0)))),IF(AND(ROW(AG11)-COLUMN(AG11)=ODD(ROW(AG11)-COLUMN(AG11)),COLUMN(AG11)&gt;32,COLUMN(AG11)&lt;35),"L",VLOOKUP(AF11,'Busking Places'!$N$9:$R$28,IF($AD11="w",3,IF($AD11="c",4,IF($AD11="s",5,0))))))</f>
        <v>3</v>
      </c>
      <c r="AH11" s="105" t="str">
        <f>IF(AG11="L",VLOOKUP(AF11,'Busking Places'!$N$9:$R$28,IF($AD11="w",3,IF($AD11="c",4,IF($AD11="s",5,0)))),IF(AND(ROW(AH11)-COLUMN(AH11)=ODD(ROW(AH11)-COLUMN(AH11)),COLUMN(AH11)&gt;32,COLUMN(AH11)&lt;35),"L",VLOOKUP(AG11,'Busking Places'!$N$9:$R$28,IF($AD11="w",3,IF($AD11="c",4,IF($AD11="s",5,0))))))</f>
        <v>L</v>
      </c>
      <c r="AI11" s="105">
        <f>IF(AH11="L",VLOOKUP(AG11,'Busking Places'!$N$9:$R$28,IF($AD11="w",3,IF($AD11="c",4,IF($AD11="s",5,0)))),IF(AND(ROW(AI11)-COLUMN(AI11)=ODD(ROW(AI11)-COLUMN(AI11)),COLUMN(AI11)&gt;32,COLUMN(AI11)&lt;35),"L",VLOOKUP(AH11,'Busking Places'!$N$9:$R$28,IF($AD11="w",3,IF($AD11="c",4,IF($AD11="s",5,0))))))</f>
        <v>4</v>
      </c>
      <c r="AJ11" s="105">
        <f>IF(AI11="L",VLOOKUP(AH11,'Busking Places'!$N$9:$R$28,IF($AD11="w",3,IF($AD11="c",4,IF($AD11="s",5,0)))),IF(AND(ROW(AJ11)-COLUMN(AJ11)=ODD(ROW(AJ11)-COLUMN(AJ11)),COLUMN(AJ11)&gt;32,COLUMN(AJ11)&lt;35),"L",VLOOKUP(AI11,'Busking Places'!$N$9:$R$28,IF($AD11="w",3,IF($AD11="c",4,IF($AD11="s",5,0))))))</f>
        <v>5</v>
      </c>
      <c r="AL11" s="96" t="str">
        <f>IF(AE11="L","LUNCH",VLOOKUP(AE11,'Busking Places'!$A$3:$B$31,2,0))</f>
        <v>Quayside</v>
      </c>
      <c r="AM11" s="96" t="str">
        <f>IF(AF11="L","LUNCH",VLOOKUP(AF11,'Busking Places'!$A$3:$B$31,2,0))</f>
        <v>The Maypole</v>
      </c>
      <c r="AN11" s="96" t="str">
        <f>IF(AG11="L","LUNCH",VLOOKUP(AG11,'Busking Places'!$A$3:$B$31,2,0))</f>
        <v>Jesus Green</v>
      </c>
      <c r="AO11" s="96" t="str">
        <f>IF(AH11="L","LUNCH",VLOOKUP(AH11,'Busking Places'!$A$3:$B$31,2,0))</f>
        <v>LUNCH</v>
      </c>
      <c r="AP11" s="96" t="str">
        <f>IF(AI11="L","LUNCH",VLOOKUP(AI11,'Busking Places'!$A$3:$B$31,2,0))</f>
        <v>Fort St George</v>
      </c>
      <c r="AQ11" s="96" t="str">
        <f>IF(AJ11="L","LUNCH",VLOOKUP(AJ11,'Busking Places'!$A$3:$B$31,2,0))</f>
        <v>Butt Green</v>
      </c>
    </row>
    <row r="12" spans="1:43" ht="12.75">
      <c r="A12" s="11" t="s">
        <v>849</v>
      </c>
      <c r="B12" s="9">
        <v>28</v>
      </c>
      <c r="C12" s="9" t="s">
        <v>1057</v>
      </c>
      <c r="D12" s="9" t="s">
        <v>1115</v>
      </c>
      <c r="E12" s="11" t="s">
        <v>1122</v>
      </c>
      <c r="F12" s="191" t="s">
        <v>1123</v>
      </c>
      <c r="H12" s="9" t="s">
        <v>1124</v>
      </c>
      <c r="J12" s="96"/>
      <c r="K12" s="9" t="s">
        <v>907</v>
      </c>
      <c r="M12" s="11" t="s">
        <v>1125</v>
      </c>
      <c r="O12" s="190">
        <v>41701</v>
      </c>
      <c r="P12" s="9">
        <f>IF(ISERROR(FIND(P$2,$C12)),0,$B12)</f>
        <v>28</v>
      </c>
      <c r="Q12" s="9">
        <f>IF(ISERROR(FIND(Q$2,$C12)),0,$B12)</f>
        <v>0</v>
      </c>
      <c r="R12" s="9">
        <f>IF(ISERROR(FIND(R$2,$C12)),0,$B12)</f>
        <v>0</v>
      </c>
      <c r="S12" s="63">
        <f>IF(ISERROR(FIND(S$2,$C12)),0,1)</f>
        <v>1</v>
      </c>
      <c r="T12" s="63">
        <f>IF(ISERROR(FIND(T$2,$C12)),0,1)</f>
        <v>0</v>
      </c>
      <c r="U12" s="63">
        <f>IF(ISERROR(FIND(U$2,$C12)),0,1)</f>
        <v>0</v>
      </c>
      <c r="V12" s="9">
        <f>IF(ISERROR(FIND(LEFT(V$2,1),$D12)),0,1)</f>
        <v>1</v>
      </c>
      <c r="W12" s="9">
        <f>IF(ISERROR(FIND(LEFT(W$2,1),$D12)),0,1)</f>
        <v>0</v>
      </c>
      <c r="X12" s="9">
        <f>IF(ISERROR(FIND(LEFT(X$2,1),$D12)),0,1)</f>
        <v>0</v>
      </c>
      <c r="Y12" s="9">
        <f>IF(ISERROR(FIND(LEFT(Y$2,1),$D12)),0,1)</f>
        <v>0</v>
      </c>
      <c r="Z12" s="9">
        <f>IF(ISERROR(FIND(LEFT(Z$2,1),$D12)),0,1)</f>
        <v>0</v>
      </c>
      <c r="AA12" s="9">
        <f>IF(ISERROR(FIND(LEFT(AA$2,1),$D12)),0,1)</f>
        <v>0</v>
      </c>
      <c r="AB12" s="9">
        <f>IF(ISERROR(FIND(LEFT(AB$2,1),$D12)),0,1)</f>
        <v>0</v>
      </c>
      <c r="AD12" s="16" t="s">
        <v>1121</v>
      </c>
      <c r="AE12" s="109">
        <v>2</v>
      </c>
      <c r="AF12" s="105">
        <f>IF(AE12="L",VLOOKUP(AD12,'Busking Places'!$N$9:$R$28,IF($AD12="w",3,IF($AD12="c",4,IF($AD12="s",5,0)))),IF(AND(ROW(AF12)-COLUMN(AF12)=ODD(ROW(AF12)-COLUMN(AF12)),COLUMN(AF12)&gt;32,COLUMN(AF12)&lt;35),"L",VLOOKUP(AE12,'Busking Places'!$N$9:$R$28,IF($AD12="w",3,IF($AD12="c",4,IF($AD12="s",5,0))))))</f>
        <v>3</v>
      </c>
      <c r="AG12" s="105" t="str">
        <f>IF(AF12="L",VLOOKUP(AE12,'Busking Places'!$N$9:$R$28,IF($AD12="w",3,IF($AD12="c",4,IF($AD12="s",5,0)))),IF(AND(ROW(AG12)-COLUMN(AG12)=ODD(ROW(AG12)-COLUMN(AG12)),COLUMN(AG12)&gt;32,COLUMN(AG12)&lt;35),"L",VLOOKUP(AF12,'Busking Places'!$N$9:$R$28,IF($AD12="w",3,IF($AD12="c",4,IF($AD12="s",5,0))))))</f>
        <v>L</v>
      </c>
      <c r="AH12" s="105">
        <f>IF(AG12="L",VLOOKUP(AF12,'Busking Places'!$N$9:$R$28,IF($AD12="w",3,IF($AD12="c",4,IF($AD12="s",5,0)))),IF(AND(ROW(AH12)-COLUMN(AH12)=ODD(ROW(AH12)-COLUMN(AH12)),COLUMN(AH12)&gt;32,COLUMN(AH12)&lt;35),"L",VLOOKUP(AG12,'Busking Places'!$N$9:$R$28,IF($AD12="w",3,IF($AD12="c",4,IF($AD12="s",5,0))))))</f>
        <v>4</v>
      </c>
      <c r="AI12" s="105">
        <f>IF(AH12="L",VLOOKUP(AG12,'Busking Places'!$N$9:$R$28,IF($AD12="w",3,IF($AD12="c",4,IF($AD12="s",5,0)))),IF(AND(ROW(AI12)-COLUMN(AI12)=ODD(ROW(AI12)-COLUMN(AI12)),COLUMN(AI12)&gt;32,COLUMN(AI12)&lt;35),"L",VLOOKUP(AH12,'Busking Places'!$N$9:$R$28,IF($AD12="w",3,IF($AD12="c",4,IF($AD12="s",5,0))))))</f>
        <v>5</v>
      </c>
      <c r="AJ12" s="105">
        <f>IF(AI12="L",VLOOKUP(AH12,'Busking Places'!$N$9:$R$28,IF($AD12="w",3,IF($AD12="c",4,IF($AD12="s",5,0)))),IF(AND(ROW(AJ12)-COLUMN(AJ12)=ODD(ROW(AJ12)-COLUMN(AJ12)),COLUMN(AJ12)&gt;32,COLUMN(AJ12)&lt;35),"L",VLOOKUP(AI12,'Busking Places'!$N$9:$R$28,IF($AD12="w",3,IF($AD12="c",4,IF($AD12="s",5,0))))))</f>
        <v>6</v>
      </c>
      <c r="AL12" s="96" t="str">
        <f>IF(AE12="L","LUNCH",VLOOKUP(AE12,'Busking Places'!$A$3:$B$31,2,0))</f>
        <v>The Maypole</v>
      </c>
      <c r="AM12" s="96" t="str">
        <f>IF(AF12="L","LUNCH",VLOOKUP(AF12,'Busking Places'!$A$3:$B$31,2,0))</f>
        <v>Jesus Green</v>
      </c>
      <c r="AN12" s="96" t="str">
        <f>IF(AG12="L","LUNCH",VLOOKUP(AG12,'Busking Places'!$A$3:$B$31,2,0))</f>
        <v>LUNCH</v>
      </c>
      <c r="AO12" s="96" t="str">
        <f>IF(AH12="L","LUNCH",VLOOKUP(AH12,'Busking Places'!$A$3:$B$31,2,0))</f>
        <v>Fort St George</v>
      </c>
      <c r="AP12" s="96" t="str">
        <f>IF(AI12="L","LUNCH",VLOOKUP(AI12,'Busking Places'!$A$3:$B$31,2,0))</f>
        <v>Butt Green</v>
      </c>
      <c r="AQ12" s="96" t="str">
        <f>IF(AJ12="L","LUNCH",VLOOKUP(AJ12,'Busking Places'!$A$3:$B$31,2,0))</f>
        <v>Pike's Walk</v>
      </c>
    </row>
    <row r="13" spans="1:43" ht="15">
      <c r="A13" s="11" t="s">
        <v>863</v>
      </c>
      <c r="B13" s="9">
        <v>14</v>
      </c>
      <c r="C13" s="9" t="s">
        <v>1059</v>
      </c>
      <c r="D13" s="9" t="s">
        <v>1115</v>
      </c>
      <c r="E13" s="11" t="s">
        <v>1126</v>
      </c>
      <c r="F13" s="191" t="s">
        <v>1127</v>
      </c>
      <c r="G13" s="9" t="s">
        <v>1128</v>
      </c>
      <c r="H13" s="202" t="s">
        <v>1129</v>
      </c>
      <c r="J13" s="96"/>
      <c r="K13" s="9" t="s">
        <v>1091</v>
      </c>
      <c r="L13" s="11" t="s">
        <v>1130</v>
      </c>
      <c r="M13" s="203" t="s">
        <v>1131</v>
      </c>
      <c r="O13" s="190">
        <v>41712</v>
      </c>
      <c r="P13" s="9">
        <f>IF(ISERROR(FIND(P$2,$C13)),0,$B13)</f>
        <v>0</v>
      </c>
      <c r="Q13" s="9">
        <f>IF(ISERROR(FIND(Q$2,$C13)),0,$B13)</f>
        <v>0</v>
      </c>
      <c r="R13" s="9">
        <f>IF(ISERROR(FIND(R$2,$C13)),0,$B13)</f>
        <v>14</v>
      </c>
      <c r="S13" s="63">
        <f>IF(ISERROR(FIND(S$2,$C13)),0,1)</f>
        <v>0</v>
      </c>
      <c r="T13" s="63">
        <f>IF(ISERROR(FIND(T$2,$C13)),0,1)</f>
        <v>0</v>
      </c>
      <c r="U13" s="63">
        <f>IF(ISERROR(FIND(U$2,$C13)),0,1)</f>
        <v>1</v>
      </c>
      <c r="V13" s="9">
        <f>IF(ISERROR(FIND(LEFT(V$2,1),$D13)),0,1)</f>
        <v>1</v>
      </c>
      <c r="W13" s="9">
        <f>IF(ISERROR(FIND(LEFT(W$2,1),$D13)),0,1)</f>
        <v>0</v>
      </c>
      <c r="X13" s="9">
        <f>IF(ISERROR(FIND(LEFT(X$2,1),$D13)),0,1)</f>
        <v>0</v>
      </c>
      <c r="Y13" s="9">
        <f>IF(ISERROR(FIND(LEFT(Y$2,1),$D13)),0,1)</f>
        <v>0</v>
      </c>
      <c r="Z13" s="9">
        <f>IF(ISERROR(FIND(LEFT(Z$2,1),$D13)),0,1)</f>
        <v>0</v>
      </c>
      <c r="AA13" s="9">
        <f>IF(ISERROR(FIND(LEFT(AA$2,1),$D13)),0,1)</f>
        <v>0</v>
      </c>
      <c r="AB13" s="9">
        <f>IF(ISERROR(FIND(LEFT(AB$2,1),$D13)),0,1)</f>
        <v>0</v>
      </c>
      <c r="AD13" s="16" t="s">
        <v>1121</v>
      </c>
      <c r="AE13" s="109">
        <v>3</v>
      </c>
      <c r="AF13" s="105">
        <f>IF(AE13="L",VLOOKUP(AD13,'Busking Places'!$N$9:$R$28,IF($AD13="w",3,IF($AD13="c",4,IF($AD13="s",5,0)))),IF(AND(ROW(AF13)-COLUMN(AF13)=ODD(ROW(AF13)-COLUMN(AF13)),COLUMN(AF13)&gt;32,COLUMN(AF13)&lt;35),"L",VLOOKUP(AE13,'Busking Places'!$N$9:$R$28,IF($AD13="w",3,IF($AD13="c",4,IF($AD13="s",5,0))))))</f>
        <v>4</v>
      </c>
      <c r="AG13" s="105">
        <f>IF(AF13="L",VLOOKUP(AE13,'Busking Places'!$N$9:$R$28,IF($AD13="w",3,IF($AD13="c",4,IF($AD13="s",5,0)))),IF(AND(ROW(AG13)-COLUMN(AG13)=ODD(ROW(AG13)-COLUMN(AG13)),COLUMN(AG13)&gt;32,COLUMN(AG13)&lt;35),"L",VLOOKUP(AF13,'Busking Places'!$N$9:$R$28,IF($AD13="w",3,IF($AD13="c",4,IF($AD13="s",5,0))))))</f>
        <v>5</v>
      </c>
      <c r="AH13" s="105" t="str">
        <f>IF(AG13="L",VLOOKUP(AF13,'Busking Places'!$N$9:$R$28,IF($AD13="w",3,IF($AD13="c",4,IF($AD13="s",5,0)))),IF(AND(ROW(AH13)-COLUMN(AH13)=ODD(ROW(AH13)-COLUMN(AH13)),COLUMN(AH13)&gt;32,COLUMN(AH13)&lt;35),"L",VLOOKUP(AG13,'Busking Places'!$N$9:$R$28,IF($AD13="w",3,IF($AD13="c",4,IF($AD13="s",5,0))))))</f>
        <v>L</v>
      </c>
      <c r="AI13" s="105">
        <f>IF(AH13="L",VLOOKUP(AG13,'Busking Places'!$N$9:$R$28,IF($AD13="w",3,IF($AD13="c",4,IF($AD13="s",5,0)))),IF(AND(ROW(AI13)-COLUMN(AI13)=ODD(ROW(AI13)-COLUMN(AI13)),COLUMN(AI13)&gt;32,COLUMN(AI13)&lt;35),"L",VLOOKUP(AH13,'Busking Places'!$N$9:$R$28,IF($AD13="w",3,IF($AD13="c",4,IF($AD13="s",5,0))))))</f>
        <v>6</v>
      </c>
      <c r="AJ13" s="105">
        <f>IF(AI13="L",VLOOKUP(AH13,'Busking Places'!$N$9:$R$28,IF($AD13="w",3,IF($AD13="c",4,IF($AD13="s",5,0)))),IF(AND(ROW(AJ13)-COLUMN(AJ13)=ODD(ROW(AJ13)-COLUMN(AJ13)),COLUMN(AJ13)&gt;32,COLUMN(AJ13)&lt;35),"L",VLOOKUP(AI13,'Busking Places'!$N$9:$R$28,IF($AD13="w",3,IF($AD13="c",4,IF($AD13="s",5,0))))))</f>
        <v>7</v>
      </c>
      <c r="AL13" s="96" t="str">
        <f>IF(AE13="L","LUNCH",VLOOKUP(AE13,'Busking Places'!$A$3:$B$31,2,0))</f>
        <v>Jesus Green</v>
      </c>
      <c r="AM13" s="96" t="str">
        <f>IF(AF13="L","LUNCH",VLOOKUP(AF13,'Busking Places'!$A$3:$B$31,2,0))</f>
        <v>Fort St George</v>
      </c>
      <c r="AN13" s="96" t="str">
        <f>IF(AG13="L","LUNCH",VLOOKUP(AG13,'Busking Places'!$A$3:$B$31,2,0))</f>
        <v>Butt Green</v>
      </c>
      <c r="AO13" s="96" t="str">
        <f>IF(AH13="L","LUNCH",VLOOKUP(AH13,'Busking Places'!$A$3:$B$31,2,0))</f>
        <v>LUNCH</v>
      </c>
      <c r="AP13" s="96" t="str">
        <f>IF(AI13="L","LUNCH",VLOOKUP(AI13,'Busking Places'!$A$3:$B$31,2,0))</f>
        <v>Pike's Walk</v>
      </c>
      <c r="AQ13" s="96" t="str">
        <f>IF(AJ13="L","LUNCH",VLOOKUP(AJ13,'Busking Places'!$A$3:$B$31,2,0))</f>
        <v>Christ's Pieces</v>
      </c>
    </row>
    <row r="14" spans="1:43" ht="12.75">
      <c r="A14" s="58" t="s">
        <v>870</v>
      </c>
      <c r="B14" s="9">
        <v>12</v>
      </c>
      <c r="C14" s="9" t="s">
        <v>1057</v>
      </c>
      <c r="D14" s="9" t="s">
        <v>1115</v>
      </c>
      <c r="E14" s="11" t="s">
        <v>1132</v>
      </c>
      <c r="F14" s="191" t="s">
        <v>1133</v>
      </c>
      <c r="H14" s="9" t="s">
        <v>1134</v>
      </c>
      <c r="J14" s="96"/>
      <c r="K14" s="9" t="s">
        <v>1135</v>
      </c>
      <c r="M14" s="11" t="s">
        <v>1136</v>
      </c>
      <c r="O14" s="190">
        <v>41701</v>
      </c>
      <c r="P14" s="9">
        <f>IF(ISERROR(FIND(P$2,$C14)),0,$B14)</f>
        <v>12</v>
      </c>
      <c r="Q14" s="9">
        <f>IF(ISERROR(FIND(Q$2,$C14)),0,$B14)</f>
        <v>0</v>
      </c>
      <c r="R14" s="9">
        <f>IF(ISERROR(FIND(R$2,$C14)),0,$B14)</f>
        <v>0</v>
      </c>
      <c r="S14" s="63">
        <f>IF(ISERROR(FIND(S$2,$C14)),0,1)</f>
        <v>1</v>
      </c>
      <c r="T14" s="63">
        <f>IF(ISERROR(FIND(T$2,$C14)),0,1)</f>
        <v>0</v>
      </c>
      <c r="U14" s="63">
        <f>IF(ISERROR(FIND(U$2,$C14)),0,1)</f>
        <v>0</v>
      </c>
      <c r="V14" s="9">
        <f>IF(ISERROR(FIND(LEFT(V$2,1),$D14)),0,1)</f>
        <v>1</v>
      </c>
      <c r="W14" s="9">
        <f>IF(ISERROR(FIND(LEFT(W$2,1),$D14)),0,1)</f>
        <v>0</v>
      </c>
      <c r="X14" s="9">
        <f>IF(ISERROR(FIND(LEFT(X$2,1),$D14)),0,1)</f>
        <v>0</v>
      </c>
      <c r="Y14" s="9">
        <f>IF(ISERROR(FIND(LEFT(Y$2,1),$D14)),0,1)</f>
        <v>0</v>
      </c>
      <c r="Z14" s="9">
        <f>IF(ISERROR(FIND(LEFT(Z$2,1),$D14)),0,1)</f>
        <v>0</v>
      </c>
      <c r="AA14" s="9">
        <f>IF(ISERROR(FIND(LEFT(AA$2,1),$D14)),0,1)</f>
        <v>0</v>
      </c>
      <c r="AB14" s="9">
        <f>IF(ISERROR(FIND(LEFT(AB$2,1),$D14)),0,1)</f>
        <v>0</v>
      </c>
      <c r="AD14" s="16" t="s">
        <v>1121</v>
      </c>
      <c r="AE14" s="109">
        <v>4</v>
      </c>
      <c r="AF14" s="105">
        <f>IF(AE14="L",VLOOKUP(AD14,'Busking Places'!$N$9:$R$28,IF($AD14="w",3,IF($AD14="c",4,IF($AD14="s",5,0)))),IF(AND(ROW(AF14)-COLUMN(AF14)=ODD(ROW(AF14)-COLUMN(AF14)),COLUMN(AF14)&gt;32,COLUMN(AF14)&lt;35),"L",VLOOKUP(AE14,'Busking Places'!$N$9:$R$28,IF($AD14="w",3,IF($AD14="c",4,IF($AD14="s",5,0))))))</f>
        <v>5</v>
      </c>
      <c r="AG14" s="105" t="str">
        <f>IF(AF14="L",VLOOKUP(AE14,'Busking Places'!$N$9:$R$28,IF($AD14="w",3,IF($AD14="c",4,IF($AD14="s",5,0)))),IF(AND(ROW(AG14)-COLUMN(AG14)=ODD(ROW(AG14)-COLUMN(AG14)),COLUMN(AG14)&gt;32,COLUMN(AG14)&lt;35),"L",VLOOKUP(AF14,'Busking Places'!$N$9:$R$28,IF($AD14="w",3,IF($AD14="c",4,IF($AD14="s",5,0))))))</f>
        <v>L</v>
      </c>
      <c r="AH14" s="105">
        <f>IF(AG14="L",VLOOKUP(AF14,'Busking Places'!$N$9:$R$28,IF($AD14="w",3,IF($AD14="c",4,IF($AD14="s",5,0)))),IF(AND(ROW(AH14)-COLUMN(AH14)=ODD(ROW(AH14)-COLUMN(AH14)),COLUMN(AH14)&gt;32,COLUMN(AH14)&lt;35),"L",VLOOKUP(AG14,'Busking Places'!$N$9:$R$28,IF($AD14="w",3,IF($AD14="c",4,IF($AD14="s",5,0))))))</f>
        <v>6</v>
      </c>
      <c r="AI14" s="105">
        <f>IF(AH14="L",VLOOKUP(AG14,'Busking Places'!$N$9:$R$28,IF($AD14="w",3,IF($AD14="c",4,IF($AD14="s",5,0)))),IF(AND(ROW(AI14)-COLUMN(AI14)=ODD(ROW(AI14)-COLUMN(AI14)),COLUMN(AI14)&gt;32,COLUMN(AI14)&lt;35),"L",VLOOKUP(AH14,'Busking Places'!$N$9:$R$28,IF($AD14="w",3,IF($AD14="c",4,IF($AD14="s",5,0))))))</f>
        <v>7</v>
      </c>
      <c r="AJ14" s="105">
        <f>IF(AI14="L",VLOOKUP(AH14,'Busking Places'!$N$9:$R$28,IF($AD14="w",3,IF($AD14="c",4,IF($AD14="s",5,0)))),IF(AND(ROW(AJ14)-COLUMN(AJ14)=ODD(ROW(AJ14)-COLUMN(AJ14)),COLUMN(AJ14)&gt;32,COLUMN(AJ14)&lt;35),"L",VLOOKUP(AI14,'Busking Places'!$N$9:$R$28,IF($AD14="w",3,IF($AD14="c",4,IF($AD14="s",5,0))))))</f>
        <v>8</v>
      </c>
      <c r="AL14" s="96" t="str">
        <f>IF(AE14="L","LUNCH",VLOOKUP(AE14,'Busking Places'!$A$3:$B$31,2,0))</f>
        <v>Fort St George</v>
      </c>
      <c r="AM14" s="96" t="str">
        <f>IF(AF14="L","LUNCH",VLOOKUP(AF14,'Busking Places'!$A$3:$B$31,2,0))</f>
        <v>Butt Green</v>
      </c>
      <c r="AN14" s="96" t="str">
        <f>IF(AG14="L","LUNCH",VLOOKUP(AG14,'Busking Places'!$A$3:$B$31,2,0))</f>
        <v>LUNCH</v>
      </c>
      <c r="AO14" s="96" t="str">
        <f>IF(AH14="L","LUNCH",VLOOKUP(AH14,'Busking Places'!$A$3:$B$31,2,0))</f>
        <v>Pike's Walk</v>
      </c>
      <c r="AP14" s="96" t="str">
        <f>IF(AI14="L","LUNCH",VLOOKUP(AI14,'Busking Places'!$A$3:$B$31,2,0))</f>
        <v>Christ's Pieces</v>
      </c>
      <c r="AQ14" s="96" t="str">
        <f>IF(AJ14="L","LUNCH",VLOOKUP(AJ14,'Busking Places'!$A$3:$B$31,2,0))</f>
        <v>Fitzroy St</v>
      </c>
    </row>
    <row r="15" spans="1:43" ht="12.75">
      <c r="A15" s="11" t="s">
        <v>896</v>
      </c>
      <c r="B15" s="9">
        <v>12</v>
      </c>
      <c r="C15" s="9" t="s">
        <v>1057</v>
      </c>
      <c r="D15" s="9" t="s">
        <v>1115</v>
      </c>
      <c r="E15" s="11" t="s">
        <v>1137</v>
      </c>
      <c r="F15" s="191" t="s">
        <v>1138</v>
      </c>
      <c r="H15" s="9" t="s">
        <v>1139</v>
      </c>
      <c r="J15" s="96"/>
      <c r="K15" s="9" t="s">
        <v>907</v>
      </c>
      <c r="M15" s="11" t="s">
        <v>1140</v>
      </c>
      <c r="O15" s="190">
        <v>41701</v>
      </c>
      <c r="P15" s="9">
        <f>IF(ISERROR(FIND(P$2,$C15)),0,$B15)</f>
        <v>12</v>
      </c>
      <c r="Q15" s="9">
        <f>IF(ISERROR(FIND(Q$2,$C15)),0,$B15)</f>
        <v>0</v>
      </c>
      <c r="R15" s="9">
        <f>IF(ISERROR(FIND(R$2,$C15)),0,$B15)</f>
        <v>0</v>
      </c>
      <c r="S15" s="63">
        <f>IF(ISERROR(FIND(S$2,$C15)),0,1)</f>
        <v>1</v>
      </c>
      <c r="T15" s="63">
        <f>IF(ISERROR(FIND(T$2,$C15)),0,1)</f>
        <v>0</v>
      </c>
      <c r="U15" s="63">
        <f>IF(ISERROR(FIND(U$2,$C15)),0,1)</f>
        <v>0</v>
      </c>
      <c r="V15" s="9">
        <f>IF(ISERROR(FIND(LEFT(V$2,1),$D15)),0,1)</f>
        <v>1</v>
      </c>
      <c r="W15" s="9">
        <f>IF(ISERROR(FIND(LEFT(W$2,1),$D15)),0,1)</f>
        <v>0</v>
      </c>
      <c r="X15" s="9">
        <f>IF(ISERROR(FIND(LEFT(X$2,1),$D15)),0,1)</f>
        <v>0</v>
      </c>
      <c r="Y15" s="9">
        <f>IF(ISERROR(FIND(LEFT(Y$2,1),$D15)),0,1)</f>
        <v>0</v>
      </c>
      <c r="Z15" s="9">
        <f>IF(ISERROR(FIND(LEFT(Z$2,1),$D15)),0,1)</f>
        <v>0</v>
      </c>
      <c r="AA15" s="9">
        <f>IF(ISERROR(FIND(LEFT(AA$2,1),$D15)),0,1)</f>
        <v>0</v>
      </c>
      <c r="AB15" s="9">
        <f>IF(ISERROR(FIND(LEFT(AB$2,1),$D15)),0,1)</f>
        <v>0</v>
      </c>
      <c r="AD15" s="16" t="s">
        <v>1121</v>
      </c>
      <c r="AE15" s="109">
        <v>10</v>
      </c>
      <c r="AF15" s="105">
        <f>IF(AE15="L",VLOOKUP(AD15,'Busking Places'!$N$9:$R$28,IF($AD15="w",3,IF($AD15="c",4,IF($AD15="s",5,0)))),IF(AND(ROW(AF15)-COLUMN(AF15)=ODD(ROW(AF15)-COLUMN(AF15)),COLUMN(AF15)&gt;32,COLUMN(AF15)&lt;35),"L",VLOOKUP(AE15,'Busking Places'!$N$9:$R$28,IF($AD15="w",3,IF($AD15="c",4,IF($AD15="s",5,0))))))</f>
        <v>11</v>
      </c>
      <c r="AG15" s="105">
        <f>IF(AF15="L",VLOOKUP(AE15,'Busking Places'!$N$9:$R$28,IF($AD15="w",3,IF($AD15="c",4,IF($AD15="s",5,0)))),IF(AND(ROW(AG15)-COLUMN(AG15)=ODD(ROW(AG15)-COLUMN(AG15)),COLUMN(AG15)&gt;32,COLUMN(AG15)&lt;35),"L",VLOOKUP(AF15,'Busking Places'!$N$9:$R$28,IF($AD15="w",3,IF($AD15="c",4,IF($AD15="s",5,0))))))</f>
        <v>12</v>
      </c>
      <c r="AH15" s="105" t="str">
        <f>IF(AG15="L",VLOOKUP(AF15,'Busking Places'!$N$9:$R$28,IF($AD15="w",3,IF($AD15="c",4,IF($AD15="s",5,0)))),IF(AND(ROW(AH15)-COLUMN(AH15)=ODD(ROW(AH15)-COLUMN(AH15)),COLUMN(AH15)&gt;32,COLUMN(AH15)&lt;35),"L",VLOOKUP(AG15,'Busking Places'!$N$9:$R$28,IF($AD15="w",3,IF($AD15="c",4,IF($AD15="s",5,0))))))</f>
        <v>L</v>
      </c>
      <c r="AI15" s="105">
        <f>IF(AH15="L",VLOOKUP(AG15,'Busking Places'!$N$9:$R$28,IF($AD15="w",3,IF($AD15="c",4,IF($AD15="s",5,0)))),IF(AND(ROW(AI15)-COLUMN(AI15)=ODD(ROW(AI15)-COLUMN(AI15)),COLUMN(AI15)&gt;32,COLUMN(AI15)&lt;35),"L",VLOOKUP(AH15,'Busking Places'!$N$9:$R$28,IF($AD15="w",3,IF($AD15="c",4,IF($AD15="s",5,0))))))</f>
        <v>13</v>
      </c>
      <c r="AJ15" s="105">
        <f>IF(AI15="L",VLOOKUP(AH15,'Busking Places'!$N$9:$R$28,IF($AD15="w",3,IF($AD15="c",4,IF($AD15="s",5,0)))),IF(AND(ROW(AJ15)-COLUMN(AJ15)=ODD(ROW(AJ15)-COLUMN(AJ15)),COLUMN(AJ15)&gt;32,COLUMN(AJ15)&lt;35),"L",VLOOKUP(AI15,'Busking Places'!$N$9:$R$28,IF($AD15="w",3,IF($AD15="c",4,IF($AD15="s",5,0))))))</f>
        <v>14</v>
      </c>
      <c r="AL15" s="96" t="str">
        <f>IF(AE15="L","LUNCH",VLOOKUP(AE15,'Busking Places'!$A$3:$B$31,2,0))</f>
        <v>The Tram Depot</v>
      </c>
      <c r="AM15" s="96" t="str">
        <f>IF(AF15="L","LUNCH",VLOOKUP(AF15,'Busking Places'!$A$3:$B$31,2,0))</f>
        <v>Alexandra Arms</v>
      </c>
      <c r="AN15" s="96" t="str">
        <f>IF(AG15="L","LUNCH",VLOOKUP(AG15,'Busking Places'!$A$3:$B$31,2,0))</f>
        <v>The Cambridge Blue</v>
      </c>
      <c r="AO15" s="96" t="str">
        <f>IF(AH15="L","LUNCH",VLOOKUP(AH15,'Busking Places'!$A$3:$B$31,2,0))</f>
        <v>LUNCH</v>
      </c>
      <c r="AP15" s="96" t="str">
        <f>IF(AI15="L","LUNCH",VLOOKUP(AI15,'Busking Places'!$A$3:$B$31,2,0))</f>
        <v>Covent Garden</v>
      </c>
      <c r="AQ15" s="96" t="str">
        <f>IF(AJ15="L","LUNCH",VLOOKUP(AJ15,'Busking Places'!$A$3:$B$31,2,0))</f>
        <v>Mawson Road</v>
      </c>
    </row>
    <row r="16" spans="1:43" ht="24.75">
      <c r="A16" s="11" t="s">
        <v>898</v>
      </c>
      <c r="B16" s="9">
        <v>15</v>
      </c>
      <c r="C16" s="9" t="s">
        <v>1059</v>
      </c>
      <c r="D16" s="9" t="s">
        <v>1115</v>
      </c>
      <c r="E16" s="11" t="s">
        <v>1141</v>
      </c>
      <c r="F16" s="191" t="s">
        <v>1142</v>
      </c>
      <c r="H16" s="202" t="s">
        <v>1143</v>
      </c>
      <c r="J16" s="96"/>
      <c r="K16" s="9" t="s">
        <v>907</v>
      </c>
      <c r="L16" s="11" t="s">
        <v>1144</v>
      </c>
      <c r="M16" s="11" t="s">
        <v>1140</v>
      </c>
      <c r="O16" s="190">
        <v>41712</v>
      </c>
      <c r="P16" s="9">
        <f>IF(ISERROR(FIND(P$2,$C16)),0,$B16)</f>
        <v>0</v>
      </c>
      <c r="Q16" s="9">
        <f>IF(ISERROR(FIND(Q$2,$C16)),0,$B16)</f>
        <v>0</v>
      </c>
      <c r="R16" s="9">
        <f>IF(ISERROR(FIND(R$2,$C16)),0,$B16)</f>
        <v>15</v>
      </c>
      <c r="S16" s="63">
        <f>IF(ISERROR(FIND(S$2,$C16)),0,1)</f>
        <v>0</v>
      </c>
      <c r="T16" s="63">
        <f>IF(ISERROR(FIND(T$2,$C16)),0,1)</f>
        <v>0</v>
      </c>
      <c r="U16" s="63">
        <f>IF(ISERROR(FIND(U$2,$C16)),0,1)</f>
        <v>1</v>
      </c>
      <c r="V16" s="9">
        <f>IF(ISERROR(FIND(LEFT(V$2,1),$D16)),0,1)</f>
        <v>1</v>
      </c>
      <c r="W16" s="9">
        <f>IF(ISERROR(FIND(LEFT(W$2,1),$D16)),0,1)</f>
        <v>0</v>
      </c>
      <c r="X16" s="9">
        <f>IF(ISERROR(FIND(LEFT(X$2,1),$D16)),0,1)</f>
        <v>0</v>
      </c>
      <c r="Y16" s="9">
        <f>IF(ISERROR(FIND(LEFT(Y$2,1),$D16)),0,1)</f>
        <v>0</v>
      </c>
      <c r="Z16" s="9">
        <f>IF(ISERROR(FIND(LEFT(Z$2,1),$D16)),0,1)</f>
        <v>0</v>
      </c>
      <c r="AA16" s="9">
        <f>IF(ISERROR(FIND(LEFT(AA$2,1),$D16)),0,1)</f>
        <v>0</v>
      </c>
      <c r="AB16" s="9">
        <f>IF(ISERROR(FIND(LEFT(AB$2,1),$D16)),0,1)</f>
        <v>0</v>
      </c>
      <c r="AD16" s="16" t="s">
        <v>1121</v>
      </c>
      <c r="AE16" s="109">
        <v>6</v>
      </c>
      <c r="AF16" s="105">
        <f>IF(AE16="L",VLOOKUP(AD16,'Busking Places'!$N$9:$R$28,IF($AD16="w",3,IF($AD16="c",4,IF($AD16="s",5,0)))),IF(AND(ROW(AF16)-COLUMN(AF16)=ODD(ROW(AF16)-COLUMN(AF16)),COLUMN(AF16)&gt;32,COLUMN(AF16)&lt;35),"L",VLOOKUP(AE16,'Busking Places'!$N$9:$R$28,IF($AD16="w",3,IF($AD16="c",4,IF($AD16="s",5,0))))))</f>
        <v>7</v>
      </c>
      <c r="AG16" s="105" t="str">
        <f>IF(AF16="L",VLOOKUP(AE16,'Busking Places'!$N$9:$R$28,IF($AD16="w",3,IF($AD16="c",4,IF($AD16="s",5,0)))),IF(AND(ROW(AG16)-COLUMN(AG16)=ODD(ROW(AG16)-COLUMN(AG16)),COLUMN(AG16)&gt;32,COLUMN(AG16)&lt;35),"L",VLOOKUP(AF16,'Busking Places'!$N$9:$R$28,IF($AD16="w",3,IF($AD16="c",4,IF($AD16="s",5,0))))))</f>
        <v>L</v>
      </c>
      <c r="AH16" s="105">
        <f>IF(AG16="L",VLOOKUP(AF16,'Busking Places'!$N$9:$R$28,IF($AD16="w",3,IF($AD16="c",4,IF($AD16="s",5,0)))),IF(AND(ROW(AH16)-COLUMN(AH16)=ODD(ROW(AH16)-COLUMN(AH16)),COLUMN(AH16)&gt;32,COLUMN(AH16)&lt;35),"L",VLOOKUP(AG16,'Busking Places'!$N$9:$R$28,IF($AD16="w",3,IF($AD16="c",4,IF($AD16="s",5,0))))))</f>
        <v>8</v>
      </c>
      <c r="AI16" s="105">
        <f>IF(AH16="L",VLOOKUP(AG16,'Busking Places'!$N$9:$R$28,IF($AD16="w",3,IF($AD16="c",4,IF($AD16="s",5,0)))),IF(AND(ROW(AI16)-COLUMN(AI16)=ODD(ROW(AI16)-COLUMN(AI16)),COLUMN(AI16)&gt;32,COLUMN(AI16)&lt;35),"L",VLOOKUP(AH16,'Busking Places'!$N$9:$R$28,IF($AD16="w",3,IF($AD16="c",4,IF($AD16="s",5,0))))))</f>
        <v>9</v>
      </c>
      <c r="AJ16" s="105">
        <f>IF(AI16="L",VLOOKUP(AH16,'Busking Places'!$N$9:$R$28,IF($AD16="w",3,IF($AD16="c",4,IF($AD16="s",5,0)))),IF(AND(ROW(AJ16)-COLUMN(AJ16)=ODD(ROW(AJ16)-COLUMN(AJ16)),COLUMN(AJ16)&gt;32,COLUMN(AJ16)&lt;35),"L",VLOOKUP(AI16,'Busking Places'!$N$9:$R$28,IF($AD16="w",3,IF($AD16="c",4,IF($AD16="s",5,0))))))</f>
        <v>10</v>
      </c>
      <c r="AL16" s="96" t="str">
        <f>IF(AE16="L","LUNCH",VLOOKUP(AE16,'Busking Places'!$A$3:$B$31,2,0))</f>
        <v>Pike's Walk</v>
      </c>
      <c r="AM16" s="96" t="str">
        <f>IF(AF16="L","LUNCH",VLOOKUP(AF16,'Busking Places'!$A$3:$B$31,2,0))</f>
        <v>Christ's Pieces</v>
      </c>
      <c r="AN16" s="96" t="str">
        <f>IF(AG16="L","LUNCH",VLOOKUP(AG16,'Busking Places'!$A$3:$B$31,2,0))</f>
        <v>LUNCH</v>
      </c>
      <c r="AO16" s="96" t="str">
        <f>IF(AH16="L","LUNCH",VLOOKUP(AH16,'Busking Places'!$A$3:$B$31,2,0))</f>
        <v>Fitzroy St</v>
      </c>
      <c r="AP16" s="96" t="str">
        <f>IF(AI16="L","LUNCH",VLOOKUP(AI16,'Busking Places'!$A$3:$B$31,2,0))</f>
        <v>Eden Street</v>
      </c>
      <c r="AQ16" s="96" t="str">
        <f>IF(AJ16="L","LUNCH",VLOOKUP(AJ16,'Busking Places'!$A$3:$B$31,2,0))</f>
        <v>The Tram Depot</v>
      </c>
    </row>
    <row r="17" spans="1:43" ht="24.75" customHeight="1">
      <c r="A17" s="11" t="s">
        <v>900</v>
      </c>
      <c r="B17" s="9">
        <v>15</v>
      </c>
      <c r="C17" s="9" t="s">
        <v>1059</v>
      </c>
      <c r="D17" s="9" t="s">
        <v>1115</v>
      </c>
      <c r="E17" s="11" t="s">
        <v>1145</v>
      </c>
      <c r="F17" s="204" t="s">
        <v>1146</v>
      </c>
      <c r="G17" s="11" t="s">
        <v>1147</v>
      </c>
      <c r="H17" s="9" t="s">
        <v>1148</v>
      </c>
      <c r="J17" s="96"/>
      <c r="L17" s="11" t="s">
        <v>1149</v>
      </c>
      <c r="O17" s="190">
        <v>41712</v>
      </c>
      <c r="P17" s="9">
        <f>IF(ISERROR(FIND(P$2,$C17)),0,$B17)</f>
        <v>0</v>
      </c>
      <c r="Q17" s="9">
        <f>IF(ISERROR(FIND(Q$2,$C17)),0,$B17)</f>
        <v>0</v>
      </c>
      <c r="R17" s="9">
        <f>IF(ISERROR(FIND(R$2,$C17)),0,$B17)</f>
        <v>15</v>
      </c>
      <c r="S17" s="63">
        <f>IF(ISERROR(FIND(S$2,$C17)),0,1)</f>
        <v>0</v>
      </c>
      <c r="T17" s="63">
        <f>IF(ISERROR(FIND(T$2,$C17)),0,1)</f>
        <v>0</v>
      </c>
      <c r="U17" s="63">
        <f>IF(ISERROR(FIND(U$2,$C17)),0,1)</f>
        <v>1</v>
      </c>
      <c r="V17" s="9">
        <f>IF(ISERROR(FIND(LEFT(V$2,1),$D17)),0,1)</f>
        <v>1</v>
      </c>
      <c r="W17" s="9">
        <f>IF(ISERROR(FIND(LEFT(W$2,1),$D17)),0,1)</f>
        <v>0</v>
      </c>
      <c r="X17" s="9">
        <f>IF(ISERROR(FIND(LEFT(X$2,1),$D17)),0,1)</f>
        <v>0</v>
      </c>
      <c r="Y17" s="9">
        <f>IF(ISERROR(FIND(LEFT(Y$2,1),$D17)),0,1)</f>
        <v>0</v>
      </c>
      <c r="Z17" s="9">
        <f>IF(ISERROR(FIND(LEFT(Z$2,1),$D17)),0,1)</f>
        <v>0</v>
      </c>
      <c r="AA17" s="9">
        <f>IF(ISERROR(FIND(LEFT(AA$2,1),$D17)),0,1)</f>
        <v>0</v>
      </c>
      <c r="AB17" s="9">
        <f>IF(ISERROR(FIND(LEFT(AB$2,1),$D17)),0,1)</f>
        <v>0</v>
      </c>
      <c r="AD17" s="16" t="s">
        <v>1121</v>
      </c>
      <c r="AE17" s="109">
        <v>7</v>
      </c>
      <c r="AF17" s="105">
        <f>IF(AE17="L",VLOOKUP(AD17,'Busking Places'!$N$9:$R$28,IF($AD17="w",3,IF($AD17="c",4,IF($AD17="s",5,0)))),IF(AND(ROW(AF17)-COLUMN(AF17)=ODD(ROW(AF17)-COLUMN(AF17)),COLUMN(AF17)&gt;32,COLUMN(AF17)&lt;35),"L",VLOOKUP(AE17,'Busking Places'!$N$9:$R$28,IF($AD17="w",3,IF($AD17="c",4,IF($AD17="s",5,0))))))</f>
        <v>8</v>
      </c>
      <c r="AG17" s="105">
        <f>IF(AF17="L",VLOOKUP(AE17,'Busking Places'!$N$9:$R$28,IF($AD17="w",3,IF($AD17="c",4,IF($AD17="s",5,0)))),IF(AND(ROW(AG17)-COLUMN(AG17)=ODD(ROW(AG17)-COLUMN(AG17)),COLUMN(AG17)&gt;32,COLUMN(AG17)&lt;35),"L",VLOOKUP(AF17,'Busking Places'!$N$9:$R$28,IF($AD17="w",3,IF($AD17="c",4,IF($AD17="s",5,0))))))</f>
        <v>9</v>
      </c>
      <c r="AH17" s="105" t="str">
        <f>IF(AG17="L",VLOOKUP(AF17,'Busking Places'!$N$9:$R$28,IF($AD17="w",3,IF($AD17="c",4,IF($AD17="s",5,0)))),IF(AND(ROW(AH17)-COLUMN(AH17)=ODD(ROW(AH17)-COLUMN(AH17)),COLUMN(AH17)&gt;32,COLUMN(AH17)&lt;35),"L",VLOOKUP(AG17,'Busking Places'!$N$9:$R$28,IF($AD17="w",3,IF($AD17="c",4,IF($AD17="s",5,0))))))</f>
        <v>L</v>
      </c>
      <c r="AI17" s="105">
        <f>IF(AH17="L",VLOOKUP(AG17,'Busking Places'!$N$9:$R$28,IF($AD17="w",3,IF($AD17="c",4,IF($AD17="s",5,0)))),IF(AND(ROW(AI17)-COLUMN(AI17)=ODD(ROW(AI17)-COLUMN(AI17)),COLUMN(AI17)&gt;32,COLUMN(AI17)&lt;35),"L",VLOOKUP(AH17,'Busking Places'!$N$9:$R$28,IF($AD17="w",3,IF($AD17="c",4,IF($AD17="s",5,0))))))</f>
        <v>10</v>
      </c>
      <c r="AJ17" s="105">
        <f>IF(AI17="L",VLOOKUP(AH17,'Busking Places'!$N$9:$R$28,IF($AD17="w",3,IF($AD17="c",4,IF($AD17="s",5,0)))),IF(AND(ROW(AJ17)-COLUMN(AJ17)=ODD(ROW(AJ17)-COLUMN(AJ17)),COLUMN(AJ17)&gt;32,COLUMN(AJ17)&lt;35),"L",VLOOKUP(AI17,'Busking Places'!$N$9:$R$28,IF($AD17="w",3,IF($AD17="c",4,IF($AD17="s",5,0))))))</f>
        <v>11</v>
      </c>
      <c r="AL17" s="96" t="str">
        <f>IF(AE17="L","LUNCH",VLOOKUP(AE17,'Busking Places'!$A$3:$B$31,2,0))</f>
        <v>Christ's Pieces</v>
      </c>
      <c r="AM17" s="96" t="str">
        <f>IF(AF17="L","LUNCH",VLOOKUP(AF17,'Busking Places'!$A$3:$B$31,2,0))</f>
        <v>Fitzroy St</v>
      </c>
      <c r="AN17" s="96" t="str">
        <f>IF(AG17="L","LUNCH",VLOOKUP(AG17,'Busking Places'!$A$3:$B$31,2,0))</f>
        <v>Eden Street</v>
      </c>
      <c r="AO17" s="96" t="str">
        <f>IF(AH17="L","LUNCH",VLOOKUP(AH17,'Busking Places'!$A$3:$B$31,2,0))</f>
        <v>LUNCH</v>
      </c>
      <c r="AP17" s="96" t="str">
        <f>IF(AI17="L","LUNCH",VLOOKUP(AI17,'Busking Places'!$A$3:$B$31,2,0))</f>
        <v>The Tram Depot</v>
      </c>
      <c r="AQ17" s="96" t="str">
        <f>IF(AJ17="L","LUNCH",VLOOKUP(AJ17,'Busking Places'!$A$3:$B$31,2,0))</f>
        <v>Alexandra Arms</v>
      </c>
    </row>
    <row r="18" spans="1:43" ht="24.75" customHeight="1">
      <c r="A18" s="11" t="s">
        <v>860</v>
      </c>
      <c r="B18" s="9">
        <v>12</v>
      </c>
      <c r="C18" s="9" t="s">
        <v>1059</v>
      </c>
      <c r="D18" s="9" t="s">
        <v>1150</v>
      </c>
      <c r="E18" s="11" t="s">
        <v>1151</v>
      </c>
      <c r="F18" s="204" t="s">
        <v>1152</v>
      </c>
      <c r="G18" s="11" t="s">
        <v>1153</v>
      </c>
      <c r="H18" s="9" t="s">
        <v>1154</v>
      </c>
      <c r="I18" s="9">
        <f>MATCH("Bunnies from Hell",A$1:A$66,0)</f>
        <v>28</v>
      </c>
      <c r="J18" s="96"/>
      <c r="K18" s="9" t="s">
        <v>1085</v>
      </c>
      <c r="L18" s="11" t="s">
        <v>1155</v>
      </c>
      <c r="M18" s="11" t="s">
        <v>1156</v>
      </c>
      <c r="O18" s="190">
        <v>41712</v>
      </c>
      <c r="P18" s="9">
        <f>IF(ISERROR(FIND(P$2,$C18)),0,$B18)</f>
        <v>0</v>
      </c>
      <c r="Q18" s="9">
        <f>IF(ISERROR(FIND(Q$2,$C18)),0,$B18)</f>
        <v>0</v>
      </c>
      <c r="R18" s="9">
        <f>IF(ISERROR(FIND(R$2,$C18)),0,$B18)</f>
        <v>12</v>
      </c>
      <c r="S18" s="63">
        <f>IF(ISERROR(FIND(S$2,$C18)),0,1)</f>
        <v>0</v>
      </c>
      <c r="T18" s="63">
        <f>IF(ISERROR(FIND(T$2,$C18)),0,1)</f>
        <v>0</v>
      </c>
      <c r="U18" s="63">
        <f>IF(ISERROR(FIND(U$2,$C18)),0,1)</f>
        <v>1</v>
      </c>
      <c r="V18" s="9">
        <f>IF(ISERROR(FIND(LEFT(V$2,1),$D18)),0,1)</f>
        <v>1</v>
      </c>
      <c r="W18" s="9">
        <f>IF(ISERROR(FIND(LEFT(W$2,1),$D18)),0,1)</f>
        <v>1</v>
      </c>
      <c r="X18" s="9">
        <f>IF(ISERROR(FIND(LEFT(X$2,1),$D18)),0,1)</f>
        <v>0</v>
      </c>
      <c r="Y18" s="9">
        <f>IF(ISERROR(FIND(LEFT(Y$2,1),$D18)),0,1)</f>
        <v>0</v>
      </c>
      <c r="Z18" s="9">
        <f>IF(ISERROR(FIND(LEFT(Z$2,1),$D18)),0,1)</f>
        <v>0</v>
      </c>
      <c r="AA18" s="9">
        <f>IF(ISERROR(FIND(LEFT(AA$2,1),$D18)),0,1)</f>
        <v>0</v>
      </c>
      <c r="AB18" s="9">
        <f>IF(ISERROR(FIND(LEFT(AB$2,1),$D18)),0,1)</f>
        <v>0</v>
      </c>
      <c r="AD18" s="16" t="s">
        <v>1121</v>
      </c>
      <c r="AE18" s="109">
        <v>8</v>
      </c>
      <c r="AF18" s="105">
        <f>IF(AE18="L",VLOOKUP(AD18,'Busking Places'!$N$9:$R$28,IF($AD18="w",3,IF($AD18="c",4,IF($AD18="s",5,0)))),IF(AND(ROW(AF18)-COLUMN(AF18)=ODD(ROW(AF18)-COLUMN(AF18)),COLUMN(AF18)&gt;32,COLUMN(AF18)&lt;35),"L",VLOOKUP(AE18,'Busking Places'!$N$9:$R$28,IF($AD18="w",3,IF($AD18="c",4,IF($AD18="s",5,0))))))</f>
        <v>9</v>
      </c>
      <c r="AG18" s="105" t="str">
        <f>IF(AF18="L",VLOOKUP(AE18,'Busking Places'!$N$9:$R$28,IF($AD18="w",3,IF($AD18="c",4,IF($AD18="s",5,0)))),IF(AND(ROW(AG18)-COLUMN(AG18)=ODD(ROW(AG18)-COLUMN(AG18)),COLUMN(AG18)&gt;32,COLUMN(AG18)&lt;35),"L",VLOOKUP(AF18,'Busking Places'!$N$9:$R$28,IF($AD18="w",3,IF($AD18="c",4,IF($AD18="s",5,0))))))</f>
        <v>L</v>
      </c>
      <c r="AH18" s="105">
        <f>IF(AG18="L",VLOOKUP(AF18,'Busking Places'!$N$9:$R$28,IF($AD18="w",3,IF($AD18="c",4,IF($AD18="s",5,0)))),IF(AND(ROW(AH18)-COLUMN(AH18)=ODD(ROW(AH18)-COLUMN(AH18)),COLUMN(AH18)&gt;32,COLUMN(AH18)&lt;35),"L",VLOOKUP(AG18,'Busking Places'!$N$9:$R$28,IF($AD18="w",3,IF($AD18="c",4,IF($AD18="s",5,0))))))</f>
        <v>10</v>
      </c>
      <c r="AI18" s="105">
        <f>IF(AH18="L",VLOOKUP(AG18,'Busking Places'!$N$9:$R$28,IF($AD18="w",3,IF($AD18="c",4,IF($AD18="s",5,0)))),IF(AND(ROW(AI18)-COLUMN(AI18)=ODD(ROW(AI18)-COLUMN(AI18)),COLUMN(AI18)&gt;32,COLUMN(AI18)&lt;35),"L",VLOOKUP(AH18,'Busking Places'!$N$9:$R$28,IF($AD18="w",3,IF($AD18="c",4,IF($AD18="s",5,0))))))</f>
        <v>11</v>
      </c>
      <c r="AJ18" s="105">
        <f>IF(AI18="L",VLOOKUP(AH18,'Busking Places'!$N$9:$R$28,IF($AD18="w",3,IF($AD18="c",4,IF($AD18="s",5,0)))),IF(AND(ROW(AJ18)-COLUMN(AJ18)=ODD(ROW(AJ18)-COLUMN(AJ18)),COLUMN(AJ18)&gt;32,COLUMN(AJ18)&lt;35),"L",VLOOKUP(AI18,'Busking Places'!$N$9:$R$28,IF($AD18="w",3,IF($AD18="c",4,IF($AD18="s",5,0))))))</f>
        <v>12</v>
      </c>
      <c r="AL18" s="96" t="str">
        <f>IF(AE18="L","LUNCH",VLOOKUP(AE18,'Busking Places'!$A$3:$B$31,2,0))</f>
        <v>Fitzroy St</v>
      </c>
      <c r="AM18" s="96" t="str">
        <f>IF(AF18="L","LUNCH",VLOOKUP(AF18,'Busking Places'!$A$3:$B$31,2,0))</f>
        <v>Eden Street</v>
      </c>
      <c r="AN18" s="96" t="str">
        <f>IF(AG18="L","LUNCH",VLOOKUP(AG18,'Busking Places'!$A$3:$B$31,2,0))</f>
        <v>LUNCH</v>
      </c>
      <c r="AO18" s="96" t="str">
        <f>IF(AH18="L","LUNCH",VLOOKUP(AH18,'Busking Places'!$A$3:$B$31,2,0))</f>
        <v>The Tram Depot</v>
      </c>
      <c r="AP18" s="96" t="str">
        <f>IF(AI18="L","LUNCH",VLOOKUP(AI18,'Busking Places'!$A$3:$B$31,2,0))</f>
        <v>Alexandra Arms</v>
      </c>
      <c r="AQ18" s="96" t="str">
        <f>IF(AJ18="L","LUNCH",VLOOKUP(AJ18,'Busking Places'!$A$3:$B$31,2,0))</f>
        <v>The Cambridge Blue</v>
      </c>
    </row>
    <row r="19" spans="1:43" ht="12.75">
      <c r="A19" s="11" t="s">
        <v>885</v>
      </c>
      <c r="B19" s="9">
        <v>10</v>
      </c>
      <c r="C19" s="9" t="s">
        <v>1057</v>
      </c>
      <c r="D19" s="9" t="s">
        <v>1150</v>
      </c>
      <c r="E19" s="11" t="s">
        <v>1157</v>
      </c>
      <c r="F19" s="191" t="s">
        <v>1158</v>
      </c>
      <c r="H19" s="9" t="s">
        <v>1159</v>
      </c>
      <c r="J19" s="96"/>
      <c r="K19" s="9" t="s">
        <v>907</v>
      </c>
      <c r="M19" s="11" t="s">
        <v>1140</v>
      </c>
      <c r="O19" s="190">
        <v>41701</v>
      </c>
      <c r="P19" s="9">
        <f>IF(ISERROR(FIND(P$2,$C19)),0,$B19)</f>
        <v>10</v>
      </c>
      <c r="Q19" s="9">
        <f>IF(ISERROR(FIND(Q$2,$C19)),0,$B19)</f>
        <v>0</v>
      </c>
      <c r="R19" s="9">
        <f>IF(ISERROR(FIND(R$2,$C19)),0,$B19)</f>
        <v>0</v>
      </c>
      <c r="S19" s="63">
        <f>IF(ISERROR(FIND(S$2,$C19)),0,1)</f>
        <v>1</v>
      </c>
      <c r="T19" s="63">
        <f>IF(ISERROR(FIND(T$2,$C19)),0,1)</f>
        <v>0</v>
      </c>
      <c r="U19" s="63">
        <f>IF(ISERROR(FIND(U$2,$C19)),0,1)</f>
        <v>0</v>
      </c>
      <c r="V19" s="9">
        <f>IF(ISERROR(FIND(LEFT(V$2,1),$D19)),0,1)</f>
        <v>1</v>
      </c>
      <c r="W19" s="9">
        <f>IF(ISERROR(FIND(LEFT(W$2,1),$D19)),0,1)</f>
        <v>1</v>
      </c>
      <c r="X19" s="9">
        <f>IF(ISERROR(FIND(LEFT(X$2,1),$D19)),0,1)</f>
        <v>0</v>
      </c>
      <c r="Y19" s="9">
        <f>IF(ISERROR(FIND(LEFT(Y$2,1),$D19)),0,1)</f>
        <v>0</v>
      </c>
      <c r="Z19" s="9">
        <f>IF(ISERROR(FIND(LEFT(Z$2,1),$D19)),0,1)</f>
        <v>0</v>
      </c>
      <c r="AA19" s="9">
        <f>IF(ISERROR(FIND(LEFT(AA$2,1),$D19)),0,1)</f>
        <v>0</v>
      </c>
      <c r="AB19" s="9">
        <f>IF(ISERROR(FIND(LEFT(AB$2,1),$D19)),0,1)</f>
        <v>0</v>
      </c>
      <c r="AD19" s="16" t="s">
        <v>1121</v>
      </c>
      <c r="AE19" s="109">
        <v>9</v>
      </c>
      <c r="AF19" s="105">
        <f>IF(AE19="L",VLOOKUP(AD19,'Busking Places'!$N$9:$R$28,IF($AD19="w",3,IF($AD19="c",4,IF($AD19="s",5,0)))),IF(AND(ROW(AF19)-COLUMN(AF19)=ODD(ROW(AF19)-COLUMN(AF19)),COLUMN(AF19)&gt;32,COLUMN(AF19)&lt;35),"L",VLOOKUP(AE19,'Busking Places'!$N$9:$R$28,IF($AD19="w",3,IF($AD19="c",4,IF($AD19="s",5,0))))))</f>
        <v>10</v>
      </c>
      <c r="AG19" s="105">
        <f>IF(AF19="L",VLOOKUP(AE19,'Busking Places'!$N$9:$R$28,IF($AD19="w",3,IF($AD19="c",4,IF($AD19="s",5,0)))),IF(AND(ROW(AG19)-COLUMN(AG19)=ODD(ROW(AG19)-COLUMN(AG19)),COLUMN(AG19)&gt;32,COLUMN(AG19)&lt;35),"L",VLOOKUP(AF19,'Busking Places'!$N$9:$R$28,IF($AD19="w",3,IF($AD19="c",4,IF($AD19="s",5,0))))))</f>
        <v>11</v>
      </c>
      <c r="AH19" s="105" t="str">
        <f>IF(AG19="L",VLOOKUP(AF19,'Busking Places'!$N$9:$R$28,IF($AD19="w",3,IF($AD19="c",4,IF($AD19="s",5,0)))),IF(AND(ROW(AH19)-COLUMN(AH19)=ODD(ROW(AH19)-COLUMN(AH19)),COLUMN(AH19)&gt;32,COLUMN(AH19)&lt;35),"L",VLOOKUP(AG19,'Busking Places'!$N$9:$R$28,IF($AD19="w",3,IF($AD19="c",4,IF($AD19="s",5,0))))))</f>
        <v>L</v>
      </c>
      <c r="AI19" s="105">
        <f>IF(AH19="L",VLOOKUP(AG19,'Busking Places'!$N$9:$R$28,IF($AD19="w",3,IF($AD19="c",4,IF($AD19="s",5,0)))),IF(AND(ROW(AI19)-COLUMN(AI19)=ODD(ROW(AI19)-COLUMN(AI19)),COLUMN(AI19)&gt;32,COLUMN(AI19)&lt;35),"L",VLOOKUP(AH19,'Busking Places'!$N$9:$R$28,IF($AD19="w",3,IF($AD19="c",4,IF($AD19="s",5,0))))))</f>
        <v>12</v>
      </c>
      <c r="AJ19" s="105">
        <f>IF(AI19="L",VLOOKUP(AH19,'Busking Places'!$N$9:$R$28,IF($AD19="w",3,IF($AD19="c",4,IF($AD19="s",5,0)))),IF(AND(ROW(AJ19)-COLUMN(AJ19)=ODD(ROW(AJ19)-COLUMN(AJ19)),COLUMN(AJ19)&gt;32,COLUMN(AJ19)&lt;35),"L",VLOOKUP(AI19,'Busking Places'!$N$9:$R$28,IF($AD19="w",3,IF($AD19="c",4,IF($AD19="s",5,0))))))</f>
        <v>13</v>
      </c>
      <c r="AL19" s="96" t="str">
        <f>IF(AE19="L","LUNCH",VLOOKUP(AE19,'Busking Places'!$A$3:$B$31,2,0))</f>
        <v>Eden Street</v>
      </c>
      <c r="AM19" s="96" t="str">
        <f>IF(AF19="L","LUNCH",VLOOKUP(AF19,'Busking Places'!$A$3:$B$31,2,0))</f>
        <v>The Tram Depot</v>
      </c>
      <c r="AN19" s="96" t="str">
        <f>IF(AG19="L","LUNCH",VLOOKUP(AG19,'Busking Places'!$A$3:$B$31,2,0))</f>
        <v>Alexandra Arms</v>
      </c>
      <c r="AO19" s="96" t="str">
        <f>IF(AH19="L","LUNCH",VLOOKUP(AH19,'Busking Places'!$A$3:$B$31,2,0))</f>
        <v>LUNCH</v>
      </c>
      <c r="AP19" s="96" t="str">
        <f>IF(AI19="L","LUNCH",VLOOKUP(AI19,'Busking Places'!$A$3:$B$31,2,0))</f>
        <v>The Cambridge Blue</v>
      </c>
      <c r="AQ19" s="96" t="str">
        <f>IF(AJ19="L","LUNCH",VLOOKUP(AJ19,'Busking Places'!$A$3:$B$31,2,0))</f>
        <v>Covent Garden</v>
      </c>
    </row>
    <row r="20" spans="1:43" s="63" customFormat="1" ht="36" customHeight="1">
      <c r="A20" s="64" t="s">
        <v>901</v>
      </c>
      <c r="B20" s="63">
        <v>25</v>
      </c>
      <c r="C20" s="63" t="s">
        <v>1059</v>
      </c>
      <c r="D20" s="63" t="s">
        <v>1160</v>
      </c>
      <c r="E20" s="64" t="s">
        <v>1161</v>
      </c>
      <c r="F20" s="199" t="s">
        <v>1162</v>
      </c>
      <c r="G20" s="63" t="s">
        <v>1163</v>
      </c>
      <c r="H20" s="64" t="s">
        <v>1164</v>
      </c>
      <c r="J20" s="196"/>
      <c r="L20" s="64" t="s">
        <v>1165</v>
      </c>
      <c r="M20" s="64" t="s">
        <v>1166</v>
      </c>
      <c r="O20" s="197">
        <v>41712</v>
      </c>
      <c r="P20" s="63">
        <f>IF(ISERROR(FIND(P$2,$C20)),0,$B20)</f>
        <v>0</v>
      </c>
      <c r="Q20" s="63">
        <f>IF(ISERROR(FIND(Q$2,$C20)),0,$B20)</f>
        <v>0</v>
      </c>
      <c r="R20" s="63">
        <f>IF(ISERROR(FIND(R$2,$C20)),0,$B20)</f>
        <v>25</v>
      </c>
      <c r="S20" s="63">
        <f>IF(ISERROR(FIND(S$2,$C20)),0,1)</f>
        <v>0</v>
      </c>
      <c r="T20" s="63">
        <f>IF(ISERROR(FIND(T$2,$C20)),0,1)</f>
        <v>0</v>
      </c>
      <c r="U20" s="63">
        <f>IF(ISERROR(FIND(U$2,$C20)),0,1)</f>
        <v>1</v>
      </c>
      <c r="V20" s="63">
        <f>IF(ISERROR(FIND(LEFT(V$2,1),$D20)),0,1)</f>
        <v>1</v>
      </c>
      <c r="W20" s="63">
        <f>IF(ISERROR(FIND(LEFT(W$2,1),$D20)),0,1)</f>
        <v>0</v>
      </c>
      <c r="X20" s="63">
        <f>IF(ISERROR(FIND(LEFT(X$2,1),$D20)),0,1)</f>
        <v>0</v>
      </c>
      <c r="Y20" s="63">
        <f>IF(ISERROR(FIND(LEFT(Y$2,1),$D20)),0,1)</f>
        <v>0</v>
      </c>
      <c r="Z20" s="63">
        <f>IF(ISERROR(FIND(LEFT(Z$2,1),$D20)),0,1)</f>
        <v>1</v>
      </c>
      <c r="AA20" s="63">
        <f>IF(ISERROR(FIND(LEFT(AA$2,1),$D20)),0,1)</f>
        <v>0</v>
      </c>
      <c r="AB20" s="63">
        <f>IF(ISERROR(FIND(LEFT(AB$2,1),$D20)),0,1)</f>
        <v>0</v>
      </c>
      <c r="AD20" s="198" t="s">
        <v>1121</v>
      </c>
      <c r="AE20" s="201">
        <v>5</v>
      </c>
      <c r="AF20" s="125">
        <f>IF(AE20="L",VLOOKUP(AD20,'Busking Places'!$N$9:$R$28,IF($AD20="w",3,IF($AD20="c",4,IF($AD20="s",5,0)))),IF(AND(ROW(AF20)-COLUMN(AF20)=ODD(ROW(AF20)-COLUMN(AF20)),COLUMN(AF20)&gt;32,COLUMN(AF20)&lt;35),"L",VLOOKUP(AE20,'Busking Places'!$N$9:$R$28,IF($AD20="w",3,IF($AD20="c",4,IF($AD20="s",5,0))))))</f>
        <v>6</v>
      </c>
      <c r="AG20" s="125" t="str">
        <f>IF(AF20="L",VLOOKUP(AE20,'Busking Places'!$N$9:$R$28,IF($AD20="w",3,IF($AD20="c",4,IF($AD20="s",5,0)))),IF(AND(ROW(AG20)-COLUMN(AG20)=ODD(ROW(AG20)-COLUMN(AG20)),COLUMN(AG20)&gt;32,COLUMN(AG20)&lt;35),"L",VLOOKUP(AF20,'Busking Places'!$N$9:$R$28,IF($AD20="w",3,IF($AD20="c",4,IF($AD20="s",5,0))))))</f>
        <v>L</v>
      </c>
      <c r="AH20" s="125">
        <f>IF(AG20="L",VLOOKUP(AF20,'Busking Places'!$N$9:$R$28,IF($AD20="w",3,IF($AD20="c",4,IF($AD20="s",5,0)))),IF(AND(ROW(AH20)-COLUMN(AH20)=ODD(ROW(AH20)-COLUMN(AH20)),COLUMN(AH20)&gt;32,COLUMN(AH20)&lt;35),"L",VLOOKUP(AG20,'Busking Places'!$N$9:$R$28,IF($AD20="w",3,IF($AD20="c",4,IF($AD20="s",5,0))))))</f>
        <v>7</v>
      </c>
      <c r="AI20" s="125">
        <f>IF(AH20="L",VLOOKUP(AG20,'Busking Places'!$N$9:$R$28,IF($AD20="w",3,IF($AD20="c",4,IF($AD20="s",5,0)))),IF(AND(ROW(AI20)-COLUMN(AI20)=ODD(ROW(AI20)-COLUMN(AI20)),COLUMN(AI20)&gt;32,COLUMN(AI20)&lt;35),"L",VLOOKUP(AH20,'Busking Places'!$N$9:$R$28,IF($AD20="w",3,IF($AD20="c",4,IF($AD20="s",5,0))))))</f>
        <v>8</v>
      </c>
      <c r="AJ20" s="125">
        <f>IF(AI20="L",VLOOKUP(AH20,'Busking Places'!$N$9:$R$28,IF($AD20="w",3,IF($AD20="c",4,IF($AD20="s",5,0)))),IF(AND(ROW(AJ20)-COLUMN(AJ20)=ODD(ROW(AJ20)-COLUMN(AJ20)),COLUMN(AJ20)&gt;32,COLUMN(AJ20)&lt;35),"L",VLOOKUP(AI20,'Busking Places'!$N$9:$R$28,IF($AD20="w",3,IF($AD20="c",4,IF($AD20="s",5,0))))))</f>
        <v>9</v>
      </c>
      <c r="AL20" s="196" t="str">
        <f>IF(AE20="L","LUNCH",VLOOKUP(AE20,'Busking Places'!$A$3:$B$31,2,0))</f>
        <v>Butt Green</v>
      </c>
      <c r="AM20" s="196" t="str">
        <f>IF(AF20="L","LUNCH",VLOOKUP(AF20,'Busking Places'!$A$3:$B$31,2,0))</f>
        <v>Pike's Walk</v>
      </c>
      <c r="AN20" s="196" t="str">
        <f>IF(AG20="L","LUNCH",VLOOKUP(AG20,'Busking Places'!$A$3:$B$31,2,0))</f>
        <v>LUNCH</v>
      </c>
      <c r="AO20" s="196" t="str">
        <f>IF(AH20="L","LUNCH",VLOOKUP(AH20,'Busking Places'!$A$3:$B$31,2,0))</f>
        <v>Christ's Pieces</v>
      </c>
      <c r="AP20" s="196" t="str">
        <f>IF(AI20="L","LUNCH",VLOOKUP(AI20,'Busking Places'!$A$3:$B$31,2,0))</f>
        <v>Fitzroy St</v>
      </c>
      <c r="AQ20" s="196" t="str">
        <f>IF(AJ20="L","LUNCH",VLOOKUP(AJ20,'Busking Places'!$A$3:$B$31,2,0))</f>
        <v>Eden Street</v>
      </c>
    </row>
    <row r="21" spans="1:43" ht="48" customHeight="1">
      <c r="A21" s="11" t="s">
        <v>819</v>
      </c>
      <c r="B21" s="9">
        <v>8</v>
      </c>
      <c r="C21" s="9" t="s">
        <v>1058</v>
      </c>
      <c r="D21" s="9" t="s">
        <v>1074</v>
      </c>
      <c r="E21" s="11" t="s">
        <v>1167</v>
      </c>
      <c r="F21" s="189" t="s">
        <v>1168</v>
      </c>
      <c r="H21" s="11" t="s">
        <v>1169</v>
      </c>
      <c r="J21" s="96"/>
      <c r="L21" s="11" t="s">
        <v>1170</v>
      </c>
      <c r="N21" s="190">
        <v>41574</v>
      </c>
      <c r="O21" s="190"/>
      <c r="P21" s="9">
        <f>IF(ISERROR(FIND(P$2,$C21)),0,$B21)</f>
        <v>0</v>
      </c>
      <c r="Q21" s="9">
        <f>IF(ISERROR(FIND(Q$2,$C21)),0,$B21)</f>
        <v>8</v>
      </c>
      <c r="R21" s="9">
        <f>IF(ISERROR(FIND(R$2,$C21)),0,$B21)</f>
        <v>0</v>
      </c>
      <c r="S21" s="63">
        <f>IF(ISERROR(FIND(S$2,$C21)),0,1)</f>
        <v>0</v>
      </c>
      <c r="T21" s="63">
        <f>IF(ISERROR(FIND(T$2,$C21)),0,1)</f>
        <v>1</v>
      </c>
      <c r="U21" s="63">
        <f>IF(ISERROR(FIND(U$2,$C21)),0,1)</f>
        <v>0</v>
      </c>
      <c r="V21" s="9">
        <f>IF(ISERROR(FIND(LEFT(V$2,1),$D21)),0,1)</f>
        <v>0</v>
      </c>
      <c r="W21" s="9">
        <f>IF(ISERROR(FIND(LEFT(W$2,1),$D21)),0,1)</f>
        <v>1</v>
      </c>
      <c r="X21" s="9">
        <f>IF(ISERROR(FIND(LEFT(X$2,1),$D21)),0,1)</f>
        <v>0</v>
      </c>
      <c r="Y21" s="9">
        <f>IF(ISERROR(FIND(LEFT(Y$2,1),$D21)),0,1)</f>
        <v>0</v>
      </c>
      <c r="Z21" s="9">
        <f>IF(ISERROR(FIND(LEFT(Z$2,1),$D21)),0,1)</f>
        <v>0</v>
      </c>
      <c r="AA21" s="9">
        <f>IF(ISERROR(FIND(LEFT(AA$2,1),$D21)),0,1)</f>
        <v>0</v>
      </c>
      <c r="AB21" s="9">
        <f>IF(ISERROR(FIND(LEFT(AB$2,1),$D21)),0,1)</f>
        <v>0</v>
      </c>
      <c r="AD21" s="16" t="s">
        <v>1080</v>
      </c>
      <c r="AE21" s="109">
        <v>1</v>
      </c>
      <c r="AF21" s="105">
        <f>IF(AE21="L",VLOOKUP(AD21,'Busking Places'!$N$9:$R$28,IF($AD21="w",3,IF($AD21="c",4,IF($AD21="s",5,0)))),IF(AND(ROW(AF21)-COLUMN(AF21)=ODD(ROW(AF21)-COLUMN(AF21)),COLUMN(AF21)&gt;32,COLUMN(AF21)&lt;35),"L",VLOOKUP(AE21,'Busking Places'!$N$9:$R$28,IF($AD21="w",3,IF($AD21="c",4,IF($AD21="s",5,0))))))</f>
        <v>19</v>
      </c>
      <c r="AG21" s="105">
        <f>IF(AF21="L",VLOOKUP(AE21,'Busking Places'!$N$9:$R$28,IF($AD21="w",3,IF($AD21="c",4,IF($AD21="s",5,0)))),IF(AND(ROW(AG21)-COLUMN(AG21)=ODD(ROW(AG21)-COLUMN(AG21)),COLUMN(AG21)&gt;32,COLUMN(AG21)&lt;35),"L",VLOOKUP(AF21,'Busking Places'!$N$9:$R$28,IF($AD21="w",3,IF($AD21="c",4,IF($AD21="s",5,0))))))</f>
        <v>17</v>
      </c>
      <c r="AH21" s="105" t="str">
        <f>IF(AG21="L",VLOOKUP(AF21,'Busking Places'!$N$9:$R$28,IF($AD21="w",3,IF($AD21="c",4,IF($AD21="s",5,0)))),IF(AND(ROW(AH21)-COLUMN(AH21)=ODD(ROW(AH21)-COLUMN(AH21)),COLUMN(AH21)&gt;32,COLUMN(AH21)&lt;35),"L",VLOOKUP(AG21,'Busking Places'!$N$9:$R$28,IF($AD21="w",3,IF($AD21="c",4,IF($AD21="s",5,0))))))</f>
        <v>L</v>
      </c>
      <c r="AI21" s="105">
        <f>IF(AH21="L",VLOOKUP(AG21,'Busking Places'!$N$9:$R$28,IF($AD21="w",3,IF($AD21="c",4,IF($AD21="s",5,0)))),IF(AND(ROW(AI21)-COLUMN(AI21)=ODD(ROW(AI21)-COLUMN(AI21)),COLUMN(AI21)&gt;32,COLUMN(AI21)&lt;35),"L",VLOOKUP(AH21,'Busking Places'!$N$9:$R$28,IF($AD21="w",3,IF($AD21="c",4,IF($AD21="s",5,0))))))</f>
        <v>15</v>
      </c>
      <c r="AJ21" s="105">
        <f>IF(AI21="L",VLOOKUP(AH21,'Busking Places'!$N$9:$R$28,IF($AD21="w",3,IF($AD21="c",4,IF($AD21="s",5,0)))),IF(AND(ROW(AJ21)-COLUMN(AJ21)=ODD(ROW(AJ21)-COLUMN(AJ21)),COLUMN(AJ21)&gt;32,COLUMN(AJ21)&lt;35),"L",VLOOKUP(AI21,'Busking Places'!$N$9:$R$28,IF($AD21="w",3,IF($AD21="c",4,IF($AD21="s",5,0))))))</f>
        <v>13</v>
      </c>
      <c r="AL21" s="96" t="str">
        <f>IF(AE21="L","LUNCH",VLOOKUP(AE21,'Busking Places'!$A$3:$B$31,2,0))</f>
        <v>Quayside</v>
      </c>
      <c r="AM21" s="96" t="str">
        <f>IF(AF21="L","LUNCH",VLOOKUP(AF21,'Busking Places'!$A$3:$B$31,2,0))</f>
        <v>Gt St Mary's</v>
      </c>
      <c r="AN21" s="96" t="str">
        <f>IF(AG21="L","LUNCH",VLOOKUP(AG21,'Busking Places'!$A$3:$B$31,2,0))</f>
        <v>Laundress Green</v>
      </c>
      <c r="AO21" s="96" t="str">
        <f>IF(AH21="L","LUNCH",VLOOKUP(AH21,'Busking Places'!$A$3:$B$31,2,0))</f>
        <v>LUNCH</v>
      </c>
      <c r="AP21" s="96" t="str">
        <f>IF(AI21="L","LUNCH",VLOOKUP(AI21,'Busking Places'!$A$3:$B$31,2,0))</f>
        <v>Regent Terrace, S</v>
      </c>
      <c r="AQ21" s="96" t="str">
        <f>IF(AJ21="L","LUNCH",VLOOKUP(AJ21,'Busking Places'!$A$3:$B$31,2,0))</f>
        <v>Covent Garden</v>
      </c>
    </row>
    <row r="22" spans="1:43" ht="24.75">
      <c r="A22" t="s">
        <v>826</v>
      </c>
      <c r="C22" s="9" t="s">
        <v>1059</v>
      </c>
      <c r="D22" s="9" t="s">
        <v>1074</v>
      </c>
      <c r="E22" s="11" t="s">
        <v>1171</v>
      </c>
      <c r="F22" s="191" t="s">
        <v>1172</v>
      </c>
      <c r="G22" s="9" t="s">
        <v>1173</v>
      </c>
      <c r="H22" t="s">
        <v>1174</v>
      </c>
      <c r="J22" s="96"/>
      <c r="L22" s="11" t="s">
        <v>1175</v>
      </c>
      <c r="N22" s="190"/>
      <c r="P22" s="9">
        <f>IF(ISERROR(FIND(P$2,$C22)),0,$B22)</f>
        <v>0</v>
      </c>
      <c r="Q22" s="9">
        <f>IF(ISERROR(FIND(Q$2,$C22)),0,$B22)</f>
        <v>0</v>
      </c>
      <c r="R22" s="9">
        <f>IF(ISERROR(FIND(R$2,$C22)),0,$B22)</f>
        <v>0</v>
      </c>
      <c r="S22" s="63">
        <f>IF(ISERROR(FIND(S$2,$C22)),0,1)</f>
        <v>0</v>
      </c>
      <c r="T22" s="63">
        <f>IF(ISERROR(FIND(T$2,$C22)),0,1)</f>
        <v>0</v>
      </c>
      <c r="U22" s="63">
        <f>IF(ISERROR(FIND(U$2,$C22)),0,1)</f>
        <v>1</v>
      </c>
      <c r="V22" s="9">
        <f>IF(ISERROR(FIND(LEFT(V$2,1),$D22)),0,1)</f>
        <v>0</v>
      </c>
      <c r="W22" s="9">
        <f>IF(ISERROR(FIND(LEFT(W$2,1),$D22)),0,1)</f>
        <v>1</v>
      </c>
      <c r="X22" s="9">
        <f>IF(ISERROR(FIND(LEFT(X$2,1),$D22)),0,1)</f>
        <v>0</v>
      </c>
      <c r="Y22" s="9">
        <f>IF(ISERROR(FIND(LEFT(Y$2,1),$D22)),0,1)</f>
        <v>0</v>
      </c>
      <c r="Z22" s="9">
        <f>IF(ISERROR(FIND(LEFT(Z$2,1),$D22)),0,1)</f>
        <v>0</v>
      </c>
      <c r="AA22" s="9">
        <f>IF(ISERROR(FIND(LEFT(AA$2,1),$D22)),0,1)</f>
        <v>0</v>
      </c>
      <c r="AB22" s="9">
        <f>IF(ISERROR(FIND(LEFT(AB$2,1),$D22)),0,1)</f>
        <v>0</v>
      </c>
      <c r="AD22" s="16" t="s">
        <v>1110</v>
      </c>
      <c r="AE22" s="109">
        <v>1</v>
      </c>
      <c r="AF22" s="105">
        <f>IF(AE22="L",VLOOKUP(AD22,'Busking Places'!$N$9:$R$28,IF($AD22="w",3,IF($AD22="c",4,IF($AD22="s",5,0)))),IF(AND(ROW(AF22)-COLUMN(AF22)=ODD(ROW(AF22)-COLUMN(AF22)),COLUMN(AF22)&gt;32,COLUMN(AF22)&lt;35),"L",VLOOKUP(AE22,'Busking Places'!$N$9:$R$28,IF($AD22="w",3,IF($AD22="c",4,IF($AD22="s",5,0))))))</f>
        <v>3</v>
      </c>
      <c r="AG22" s="105" t="str">
        <f>IF(AF22="L",VLOOKUP(AE22,'Busking Places'!$N$9:$R$28,IF($AD22="w",3,IF($AD22="c",4,IF($AD22="s",5,0)))),IF(AND(ROW(AG22)-COLUMN(AG22)=ODD(ROW(AG22)-COLUMN(AG22)),COLUMN(AG22)&gt;32,COLUMN(AG22)&lt;35),"L",VLOOKUP(AF22,'Busking Places'!$N$9:$R$28,IF($AD22="w",3,IF($AD22="c",4,IF($AD22="s",5,0))))))</f>
        <v>L</v>
      </c>
      <c r="AH22" s="105">
        <f>IF(AG22="L",VLOOKUP(AF22,'Busking Places'!$N$9:$R$28,IF($AD22="w",3,IF($AD22="c",4,IF($AD22="s",5,0)))),IF(AND(ROW(AH22)-COLUMN(AH22)=ODD(ROW(AH22)-COLUMN(AH22)),COLUMN(AH22)&gt;32,COLUMN(AH22)&lt;35),"L",VLOOKUP(AG22,'Busking Places'!$N$9:$R$28,IF($AD22="w",3,IF($AD22="c",4,IF($AD22="s",5,0))))))</f>
        <v>5</v>
      </c>
      <c r="AI22" s="105">
        <f>IF(AH22="L",VLOOKUP(AG22,'Busking Places'!$N$9:$R$28,IF($AD22="w",3,IF($AD22="c",4,IF($AD22="s",5,0)))),IF(AND(ROW(AI22)-COLUMN(AI22)=ODD(ROW(AI22)-COLUMN(AI22)),COLUMN(AI22)&gt;32,COLUMN(AI22)&lt;35),"L",VLOOKUP(AH22,'Busking Places'!$N$9:$R$28,IF($AD22="w",3,IF($AD22="c",4,IF($AD22="s",5,0))))))</f>
        <v>7</v>
      </c>
      <c r="AJ22" s="105">
        <f>IF(AI22="L",VLOOKUP(AH22,'Busking Places'!$N$9:$R$28,IF($AD22="w",3,IF($AD22="c",4,IF($AD22="s",5,0)))),IF(AND(ROW(AJ22)-COLUMN(AJ22)=ODD(ROW(AJ22)-COLUMN(AJ22)),COLUMN(AJ22)&gt;32,COLUMN(AJ22)&lt;35),"L",VLOOKUP(AI22,'Busking Places'!$N$9:$R$28,IF($AD22="w",3,IF($AD22="c",4,IF($AD22="s",5,0))))))</f>
        <v>9</v>
      </c>
      <c r="AL22" s="96" t="str">
        <f>IF(AE22="L","LUNCH",VLOOKUP(AE22,'Busking Places'!$A$3:$B$31,2,0))</f>
        <v>Quayside</v>
      </c>
      <c r="AM22" s="96" t="str">
        <f>IF(AF22="L","LUNCH",VLOOKUP(AF22,'Busking Places'!$A$3:$B$31,2,0))</f>
        <v>Jesus Green</v>
      </c>
      <c r="AN22" s="96" t="str">
        <f>IF(AG22="L","LUNCH",VLOOKUP(AG22,'Busking Places'!$A$3:$B$31,2,0))</f>
        <v>LUNCH</v>
      </c>
      <c r="AO22" s="96" t="str">
        <f>IF(AH22="L","LUNCH",VLOOKUP(AH22,'Busking Places'!$A$3:$B$31,2,0))</f>
        <v>Butt Green</v>
      </c>
      <c r="AP22" s="96" t="str">
        <f>IF(AI22="L","LUNCH",VLOOKUP(AI22,'Busking Places'!$A$3:$B$31,2,0))</f>
        <v>Christ's Pieces</v>
      </c>
      <c r="AQ22" s="96" t="str">
        <f>IF(AJ22="L","LUNCH",VLOOKUP(AJ22,'Busking Places'!$A$3:$B$31,2,0))</f>
        <v>Eden Street</v>
      </c>
    </row>
    <row r="23" spans="1:43" ht="12.75">
      <c r="A23" t="s">
        <v>831</v>
      </c>
      <c r="C23" s="9" t="s">
        <v>1059</v>
      </c>
      <c r="D23" s="9" t="s">
        <v>1074</v>
      </c>
      <c r="E23" s="11" t="s">
        <v>1176</v>
      </c>
      <c r="F23" s="191" t="s">
        <v>1177</v>
      </c>
      <c r="H23" s="9" t="s">
        <v>1178</v>
      </c>
      <c r="J23" s="96"/>
      <c r="L23" s="11" t="s">
        <v>1179</v>
      </c>
      <c r="N23" s="190"/>
      <c r="P23" s="9">
        <f>IF(ISERROR(FIND(P$2,$C23)),0,$B23)</f>
        <v>0</v>
      </c>
      <c r="Q23" s="9">
        <f>IF(ISERROR(FIND(Q$2,$C23)),0,$B23)</f>
        <v>0</v>
      </c>
      <c r="R23" s="9">
        <f>IF(ISERROR(FIND(R$2,$C23)),0,$B23)</f>
        <v>0</v>
      </c>
      <c r="S23" s="63">
        <f>IF(ISERROR(FIND(S$2,$C23)),0,1)</f>
        <v>0</v>
      </c>
      <c r="T23" s="63">
        <f>IF(ISERROR(FIND(T$2,$C23)),0,1)</f>
        <v>0</v>
      </c>
      <c r="U23" s="63">
        <f>IF(ISERROR(FIND(U$2,$C23)),0,1)</f>
        <v>1</v>
      </c>
      <c r="V23" s="9">
        <f>IF(ISERROR(FIND(LEFT(V$2,1),$D23)),0,1)</f>
        <v>0</v>
      </c>
      <c r="W23" s="9">
        <f>IF(ISERROR(FIND(LEFT(W$2,1),$D23)),0,1)</f>
        <v>1</v>
      </c>
      <c r="X23" s="9">
        <f>IF(ISERROR(FIND(LEFT(X$2,1),$D23)),0,1)</f>
        <v>0</v>
      </c>
      <c r="Y23" s="9">
        <f>IF(ISERROR(FIND(LEFT(Y$2,1),$D23)),0,1)</f>
        <v>0</v>
      </c>
      <c r="Z23" s="9">
        <f>IF(ISERROR(FIND(LEFT(Z$2,1),$D23)),0,1)</f>
        <v>0</v>
      </c>
      <c r="AA23" s="9">
        <f>IF(ISERROR(FIND(LEFT(AA$2,1),$D23)),0,1)</f>
        <v>0</v>
      </c>
      <c r="AB23" s="9">
        <f>IF(ISERROR(FIND(LEFT(AB$2,1),$D23)),0,1)</f>
        <v>0</v>
      </c>
      <c r="AD23" s="16" t="s">
        <v>1080</v>
      </c>
      <c r="AE23" s="109">
        <v>2</v>
      </c>
      <c r="AF23" s="105">
        <f>IF(AE23="L",VLOOKUP(AD23,'Busking Places'!$N$9:$R$28,IF($AD23="w",3,IF($AD23="c",4,IF($AD23="s",5,0)))),IF(AND(ROW(AF23)-COLUMN(AF23)=ODD(ROW(AF23)-COLUMN(AF23)),COLUMN(AF23)&gt;32,COLUMN(AF23)&lt;35),"L",VLOOKUP(AE23,'Busking Places'!$N$9:$R$28,IF($AD23="w",3,IF($AD23="c",4,IF($AD23="s",5,0))))))</f>
        <v>20</v>
      </c>
      <c r="AG23" s="105">
        <f>IF(AF23="L",VLOOKUP(AE23,'Busking Places'!$N$9:$R$28,IF($AD23="w",3,IF($AD23="c",4,IF($AD23="s",5,0)))),IF(AND(ROW(AG23)-COLUMN(AG23)=ODD(ROW(AG23)-COLUMN(AG23)),COLUMN(AG23)&gt;32,COLUMN(AG23)&lt;35),"L",VLOOKUP(AF23,'Busking Places'!$N$9:$R$28,IF($AD23="w",3,IF($AD23="c",4,IF($AD23="s",5,0))))))</f>
        <v>18</v>
      </c>
      <c r="AH23" s="105" t="str">
        <f>IF(AG23="L",VLOOKUP(AF23,'Busking Places'!$N$9:$R$28,IF($AD23="w",3,IF($AD23="c",4,IF($AD23="s",5,0)))),IF(AND(ROW(AH23)-COLUMN(AH23)=ODD(ROW(AH23)-COLUMN(AH23)),COLUMN(AH23)&gt;32,COLUMN(AH23)&lt;35),"L",VLOOKUP(AG23,'Busking Places'!$N$9:$R$28,IF($AD23="w",3,IF($AD23="c",4,IF($AD23="s",5,0))))))</f>
        <v>L</v>
      </c>
      <c r="AI23" s="105">
        <f>IF(AH23="L",VLOOKUP(AG23,'Busking Places'!$N$9:$R$28,IF($AD23="w",3,IF($AD23="c",4,IF($AD23="s",5,0)))),IF(AND(ROW(AI23)-COLUMN(AI23)=ODD(ROW(AI23)-COLUMN(AI23)),COLUMN(AI23)&gt;32,COLUMN(AI23)&lt;35),"L",VLOOKUP(AH23,'Busking Places'!$N$9:$R$28,IF($AD23="w",3,IF($AD23="c",4,IF($AD23="s",5,0))))))</f>
        <v>16</v>
      </c>
      <c r="AJ23" s="105">
        <f>IF(AI23="L",VLOOKUP(AH23,'Busking Places'!$N$9:$R$28,IF($AD23="w",3,IF($AD23="c",4,IF($AD23="s",5,0)))),IF(AND(ROW(AJ23)-COLUMN(AJ23)=ODD(ROW(AJ23)-COLUMN(AJ23)),COLUMN(AJ23)&gt;32,COLUMN(AJ23)&lt;35),"L",VLOOKUP(AI23,'Busking Places'!$N$9:$R$28,IF($AD23="w",3,IF($AD23="c",4,IF($AD23="s",5,0))))))</f>
        <v>14</v>
      </c>
      <c r="AL23" s="96" t="str">
        <f>IF(AE23="L","LUNCH",VLOOKUP(AE23,'Busking Places'!$A$3:$B$31,2,0))</f>
        <v>The Maypole</v>
      </c>
      <c r="AM23" s="96" t="str">
        <f>IF(AF23="L","LUNCH",VLOOKUP(AF23,'Busking Places'!$A$3:$B$31,2,0))</f>
        <v>Sidney Street</v>
      </c>
      <c r="AN23" s="96" t="str">
        <f>IF(AG23="L","LUNCH",VLOOKUP(AG23,'Busking Places'!$A$3:$B$31,2,0))</f>
        <v>Guildhall, Mkt. Hill</v>
      </c>
      <c r="AO23" s="96" t="str">
        <f>IF(AH23="L","LUNCH",VLOOKUP(AH23,'Busking Places'!$A$3:$B$31,2,0))</f>
        <v>LUNCH</v>
      </c>
      <c r="AP23" s="96" t="str">
        <f>IF(AI23="L","LUNCH",VLOOKUP(AI23,'Busking Places'!$A$3:$B$31,2,0))</f>
        <v>Regent Terrace, N</v>
      </c>
      <c r="AQ23" s="96" t="str">
        <f>IF(AJ23="L","LUNCH",VLOOKUP(AJ23,'Busking Places'!$A$3:$B$31,2,0))</f>
        <v>Mawson Road</v>
      </c>
    </row>
    <row r="24" spans="1:43" ht="12.75">
      <c r="A24" s="11" t="s">
        <v>839</v>
      </c>
      <c r="B24" s="9">
        <v>10</v>
      </c>
      <c r="C24" s="9" t="s">
        <v>1057</v>
      </c>
      <c r="D24" s="9" t="s">
        <v>1074</v>
      </c>
      <c r="E24" s="11" t="s">
        <v>1180</v>
      </c>
      <c r="F24" s="189" t="s">
        <v>1181</v>
      </c>
      <c r="G24" s="9" t="s">
        <v>1182</v>
      </c>
      <c r="H24" s="9" t="s">
        <v>1183</v>
      </c>
      <c r="J24" s="96"/>
      <c r="L24" s="11" t="s">
        <v>1184</v>
      </c>
      <c r="N24" s="190">
        <v>41591</v>
      </c>
      <c r="O24" s="190">
        <v>41709</v>
      </c>
      <c r="P24" s="9">
        <f>IF(ISERROR(FIND(P$2,$C24)),0,$B24)</f>
        <v>10</v>
      </c>
      <c r="Q24" s="9">
        <f>IF(ISERROR(FIND(Q$2,$C24)),0,$B24)</f>
        <v>0</v>
      </c>
      <c r="R24" s="9">
        <f>IF(ISERROR(FIND(R$2,$C24)),0,$B24)</f>
        <v>0</v>
      </c>
      <c r="S24" s="63">
        <f>IF(ISERROR(FIND(S$2,$C24)),0,1)</f>
        <v>1</v>
      </c>
      <c r="T24" s="63">
        <f>IF(ISERROR(FIND(T$2,$C24)),0,1)</f>
        <v>0</v>
      </c>
      <c r="U24" s="63">
        <f>IF(ISERROR(FIND(U$2,$C24)),0,1)</f>
        <v>0</v>
      </c>
      <c r="V24" s="9">
        <f>IF(ISERROR(FIND(LEFT(V$2,1),$D24)),0,1)</f>
        <v>0</v>
      </c>
      <c r="W24" s="9">
        <f>IF(ISERROR(FIND(LEFT(W$2,1),$D24)),0,1)</f>
        <v>1</v>
      </c>
      <c r="X24" s="9">
        <f>IF(ISERROR(FIND(LEFT(X$2,1),$D24)),0,1)</f>
        <v>0</v>
      </c>
      <c r="Y24" s="9">
        <f>IF(ISERROR(FIND(LEFT(Y$2,1),$D24)),0,1)</f>
        <v>0</v>
      </c>
      <c r="Z24" s="9">
        <f>IF(ISERROR(FIND(LEFT(Z$2,1),$D24)),0,1)</f>
        <v>0</v>
      </c>
      <c r="AA24" s="9">
        <f>IF(ISERROR(FIND(LEFT(AA$2,1),$D24)),0,1)</f>
        <v>0</v>
      </c>
      <c r="AB24" s="9">
        <f>IF(ISERROR(FIND(LEFT(AB$2,1),$D24)),0,1)</f>
        <v>0</v>
      </c>
      <c r="AD24" s="16" t="s">
        <v>1110</v>
      </c>
      <c r="AE24" s="109">
        <v>2</v>
      </c>
      <c r="AF24" s="105">
        <f>IF(AE24="L",VLOOKUP(AD24,'Busking Places'!$N$9:$R$28,IF($AD24="w",3,IF($AD24="c",4,IF($AD24="s",5,0)))),IF(AND(ROW(AF24)-COLUMN(AF24)=ODD(ROW(AF24)-COLUMN(AF24)),COLUMN(AF24)&gt;32,COLUMN(AF24)&lt;35),"L",VLOOKUP(AE24,'Busking Places'!$N$9:$R$28,IF($AD24="w",3,IF($AD24="c",4,IF($AD24="s",5,0))))))</f>
        <v>4</v>
      </c>
      <c r="AG24" s="105" t="str">
        <f>IF(AF24="L",VLOOKUP(AE24,'Busking Places'!$N$9:$R$28,IF($AD24="w",3,IF($AD24="c",4,IF($AD24="s",5,0)))),IF(AND(ROW(AG24)-COLUMN(AG24)=ODD(ROW(AG24)-COLUMN(AG24)),COLUMN(AG24)&gt;32,COLUMN(AG24)&lt;35),"L",VLOOKUP(AF24,'Busking Places'!$N$9:$R$28,IF($AD24="w",3,IF($AD24="c",4,IF($AD24="s",5,0))))))</f>
        <v>L</v>
      </c>
      <c r="AH24" s="105">
        <f>IF(AG24="L",VLOOKUP(AF24,'Busking Places'!$N$9:$R$28,IF($AD24="w",3,IF($AD24="c",4,IF($AD24="s",5,0)))),IF(AND(ROW(AH24)-COLUMN(AH24)=ODD(ROW(AH24)-COLUMN(AH24)),COLUMN(AH24)&gt;32,COLUMN(AH24)&lt;35),"L",VLOOKUP(AG24,'Busking Places'!$N$9:$R$28,IF($AD24="w",3,IF($AD24="c",4,IF($AD24="s",5,0))))))</f>
        <v>6</v>
      </c>
      <c r="AI24" s="105">
        <f>IF(AH24="L",VLOOKUP(AG24,'Busking Places'!$N$9:$R$28,IF($AD24="w",3,IF($AD24="c",4,IF($AD24="s",5,0)))),IF(AND(ROW(AI24)-COLUMN(AI24)=ODD(ROW(AI24)-COLUMN(AI24)),COLUMN(AI24)&gt;32,COLUMN(AI24)&lt;35),"L",VLOOKUP(AH24,'Busking Places'!$N$9:$R$28,IF($AD24="w",3,IF($AD24="c",4,IF($AD24="s",5,0))))))</f>
        <v>8</v>
      </c>
      <c r="AJ24" s="105">
        <f>IF(AI24="L",VLOOKUP(AH24,'Busking Places'!$N$9:$R$28,IF($AD24="w",3,IF($AD24="c",4,IF($AD24="s",5,0)))),IF(AND(ROW(AJ24)-COLUMN(AJ24)=ODD(ROW(AJ24)-COLUMN(AJ24)),COLUMN(AJ24)&gt;32,COLUMN(AJ24)&lt;35),"L",VLOOKUP(AI24,'Busking Places'!$N$9:$R$28,IF($AD24="w",3,IF($AD24="c",4,IF($AD24="s",5,0))))))</f>
        <v>10</v>
      </c>
      <c r="AL24" s="96" t="str">
        <f>IF(AE24="L","LUNCH",VLOOKUP(AE24,'Busking Places'!$A$3:$B$31,2,0))</f>
        <v>The Maypole</v>
      </c>
      <c r="AM24" s="96" t="str">
        <f>IF(AF24="L","LUNCH",VLOOKUP(AF24,'Busking Places'!$A$3:$B$31,2,0))</f>
        <v>Fort St George</v>
      </c>
      <c r="AN24" s="96" t="str">
        <f>IF(AG24="L","LUNCH",VLOOKUP(AG24,'Busking Places'!$A$3:$B$31,2,0))</f>
        <v>LUNCH</v>
      </c>
      <c r="AO24" s="96" t="str">
        <f>IF(AH24="L","LUNCH",VLOOKUP(AH24,'Busking Places'!$A$3:$B$31,2,0))</f>
        <v>Pike's Walk</v>
      </c>
      <c r="AP24" s="96" t="str">
        <f>IF(AI24="L","LUNCH",VLOOKUP(AI24,'Busking Places'!$A$3:$B$31,2,0))</f>
        <v>Fitzroy St</v>
      </c>
      <c r="AQ24" s="96" t="str">
        <f>IF(AJ24="L","LUNCH",VLOOKUP(AJ24,'Busking Places'!$A$3:$B$31,2,0))</f>
        <v>The Tram Depot</v>
      </c>
    </row>
    <row r="25" spans="1:43" ht="12.75">
      <c r="A25" s="11" t="s">
        <v>845</v>
      </c>
      <c r="B25" s="9">
        <v>7</v>
      </c>
      <c r="C25" s="9" t="s">
        <v>1057</v>
      </c>
      <c r="D25" s="9" t="s">
        <v>1074</v>
      </c>
      <c r="E25" s="11" t="s">
        <v>1185</v>
      </c>
      <c r="F25" s="191" t="s">
        <v>1186</v>
      </c>
      <c r="H25" s="9" t="s">
        <v>1187</v>
      </c>
      <c r="J25" s="96"/>
      <c r="K25" s="9" t="s">
        <v>907</v>
      </c>
      <c r="L25" s="11" t="s">
        <v>1188</v>
      </c>
      <c r="O25" s="190">
        <v>41701</v>
      </c>
      <c r="P25" s="9">
        <f>IF(ISERROR(FIND(P$2,$C25)),0,$B25)</f>
        <v>7</v>
      </c>
      <c r="Q25" s="9">
        <f>IF(ISERROR(FIND(Q$2,$C25)),0,$B25)</f>
        <v>0</v>
      </c>
      <c r="R25" s="9">
        <f>IF(ISERROR(FIND(R$2,$C25)),0,$B25)</f>
        <v>0</v>
      </c>
      <c r="S25" s="63">
        <f>IF(ISERROR(FIND(S$2,$C25)),0,1)</f>
        <v>1</v>
      </c>
      <c r="T25" s="63">
        <f>IF(ISERROR(FIND(T$2,$C25)),0,1)</f>
        <v>0</v>
      </c>
      <c r="U25" s="63">
        <f>IF(ISERROR(FIND(U$2,$C25)),0,1)</f>
        <v>0</v>
      </c>
      <c r="V25" s="9">
        <f>IF(ISERROR(FIND(LEFT(V$2,1),$D25)),0,1)</f>
        <v>0</v>
      </c>
      <c r="W25" s="9">
        <f>IF(ISERROR(FIND(LEFT(W$2,1),$D25)),0,1)</f>
        <v>1</v>
      </c>
      <c r="X25" s="9">
        <f>IF(ISERROR(FIND(LEFT(X$2,1),$D25)),0,1)</f>
        <v>0</v>
      </c>
      <c r="Y25" s="9">
        <f>IF(ISERROR(FIND(LEFT(Y$2,1),$D25)),0,1)</f>
        <v>0</v>
      </c>
      <c r="Z25" s="9">
        <f>IF(ISERROR(FIND(LEFT(Z$2,1),$D25)),0,1)</f>
        <v>0</v>
      </c>
      <c r="AA25" s="9">
        <f>IF(ISERROR(FIND(LEFT(AA$2,1),$D25)),0,1)</f>
        <v>0</v>
      </c>
      <c r="AB25" s="9">
        <f>IF(ISERROR(FIND(LEFT(AB$2,1),$D25)),0,1)</f>
        <v>0</v>
      </c>
      <c r="AD25" s="16" t="s">
        <v>1080</v>
      </c>
      <c r="AE25" s="109">
        <v>3</v>
      </c>
      <c r="AF25" s="105">
        <f>IF(AE25="L",VLOOKUP(AD25,'Busking Places'!$N$9:$R$28,IF($AD25="w",3,IF($AD25="c",4,IF($AD25="s",5,0)))),IF(AND(ROW(AF25)-COLUMN(AF25)=ODD(ROW(AF25)-COLUMN(AF25)),COLUMN(AF25)&gt;32,COLUMN(AF25)&lt;35),"L",VLOOKUP(AE25,'Busking Places'!$N$9:$R$28,IF($AD25="w",3,IF($AD25="c",4,IF($AD25="s",5,0))))))</f>
        <v>1</v>
      </c>
      <c r="AG25" s="105">
        <f>IF(AF25="L",VLOOKUP(AE25,'Busking Places'!$N$9:$R$28,IF($AD25="w",3,IF($AD25="c",4,IF($AD25="s",5,0)))),IF(AND(ROW(AG25)-COLUMN(AG25)=ODD(ROW(AG25)-COLUMN(AG25)),COLUMN(AG25)&gt;32,COLUMN(AG25)&lt;35),"L",VLOOKUP(AF25,'Busking Places'!$N$9:$R$28,IF($AD25="w",3,IF($AD25="c",4,IF($AD25="s",5,0))))))</f>
        <v>19</v>
      </c>
      <c r="AH25" s="105" t="str">
        <f>IF(AG25="L",VLOOKUP(AF25,'Busking Places'!$N$9:$R$28,IF($AD25="w",3,IF($AD25="c",4,IF($AD25="s",5,0)))),IF(AND(ROW(AH25)-COLUMN(AH25)=ODD(ROW(AH25)-COLUMN(AH25)),COLUMN(AH25)&gt;32,COLUMN(AH25)&lt;35),"L",VLOOKUP(AG25,'Busking Places'!$N$9:$R$28,IF($AD25="w",3,IF($AD25="c",4,IF($AD25="s",5,0))))))</f>
        <v>L</v>
      </c>
      <c r="AI25" s="105">
        <f>IF(AH25="L",VLOOKUP(AG25,'Busking Places'!$N$9:$R$28,IF($AD25="w",3,IF($AD25="c",4,IF($AD25="s",5,0)))),IF(AND(ROW(AI25)-COLUMN(AI25)=ODD(ROW(AI25)-COLUMN(AI25)),COLUMN(AI25)&gt;32,COLUMN(AI25)&lt;35),"L",VLOOKUP(AH25,'Busking Places'!$N$9:$R$28,IF($AD25="w",3,IF($AD25="c",4,IF($AD25="s",5,0))))))</f>
        <v>17</v>
      </c>
      <c r="AJ25" s="105">
        <f>IF(AI25="L",VLOOKUP(AH25,'Busking Places'!$N$9:$R$28,IF($AD25="w",3,IF($AD25="c",4,IF($AD25="s",5,0)))),IF(AND(ROW(AJ25)-COLUMN(AJ25)=ODD(ROW(AJ25)-COLUMN(AJ25)),COLUMN(AJ25)&gt;32,COLUMN(AJ25)&lt;35),"L",VLOOKUP(AI25,'Busking Places'!$N$9:$R$28,IF($AD25="w",3,IF($AD25="c",4,IF($AD25="s",5,0))))))</f>
        <v>15</v>
      </c>
      <c r="AL25" s="96" t="str">
        <f>IF(AE25="L","LUNCH",VLOOKUP(AE25,'Busking Places'!$A$3:$B$31,2,0))</f>
        <v>Jesus Green</v>
      </c>
      <c r="AM25" s="96" t="str">
        <f>IF(AF25="L","LUNCH",VLOOKUP(AF25,'Busking Places'!$A$3:$B$31,2,0))</f>
        <v>Quayside</v>
      </c>
      <c r="AN25" s="96" t="str">
        <f>IF(AG25="L","LUNCH",VLOOKUP(AG25,'Busking Places'!$A$3:$B$31,2,0))</f>
        <v>Gt St Mary's</v>
      </c>
      <c r="AO25" s="96" t="str">
        <f>IF(AH25="L","LUNCH",VLOOKUP(AH25,'Busking Places'!$A$3:$B$31,2,0))</f>
        <v>LUNCH</v>
      </c>
      <c r="AP25" s="96" t="str">
        <f>IF(AI25="L","LUNCH",VLOOKUP(AI25,'Busking Places'!$A$3:$B$31,2,0))</f>
        <v>Laundress Green</v>
      </c>
      <c r="AQ25" s="96" t="str">
        <f>IF(AJ25="L","LUNCH",VLOOKUP(AJ25,'Busking Places'!$A$3:$B$31,2,0))</f>
        <v>Regent Terrace, S</v>
      </c>
    </row>
    <row r="26" spans="1:43" ht="24.75">
      <c r="A26" s="65" t="s">
        <v>846</v>
      </c>
      <c r="B26" s="9">
        <v>8</v>
      </c>
      <c r="C26" s="9" t="s">
        <v>1057</v>
      </c>
      <c r="D26" s="9" t="s">
        <v>1074</v>
      </c>
      <c r="E26" s="11" t="s">
        <v>1189</v>
      </c>
      <c r="F26" s="191" t="s">
        <v>1190</v>
      </c>
      <c r="H26" s="9" t="s">
        <v>1191</v>
      </c>
      <c r="J26" s="96"/>
      <c r="K26" s="9" t="s">
        <v>907</v>
      </c>
      <c r="L26" s="11" t="s">
        <v>1192</v>
      </c>
      <c r="O26" s="190">
        <v>41701</v>
      </c>
      <c r="P26" s="9">
        <f>IF(ISERROR(FIND(P$2,$C26)),0,$B26)</f>
        <v>8</v>
      </c>
      <c r="Q26" s="9">
        <f>IF(ISERROR(FIND(Q$2,$C26)),0,$B26)</f>
        <v>0</v>
      </c>
      <c r="R26" s="9">
        <f>IF(ISERROR(FIND(R$2,$C26)),0,$B26)</f>
        <v>0</v>
      </c>
      <c r="S26" s="63">
        <f>IF(ISERROR(FIND(S$2,$C26)),0,1)</f>
        <v>1</v>
      </c>
      <c r="T26" s="63">
        <f>IF(ISERROR(FIND(T$2,$C26)),0,1)</f>
        <v>0</v>
      </c>
      <c r="U26" s="63">
        <f>IF(ISERROR(FIND(U$2,$C26)),0,1)</f>
        <v>0</v>
      </c>
      <c r="V26" s="9">
        <f>IF(ISERROR(FIND(LEFT(V$2,1),$D26)),0,1)</f>
        <v>0</v>
      </c>
      <c r="W26" s="9">
        <f>IF(ISERROR(FIND(LEFT(W$2,1),$D26)),0,1)</f>
        <v>1</v>
      </c>
      <c r="X26" s="9">
        <f>IF(ISERROR(FIND(LEFT(X$2,1),$D26)),0,1)</f>
        <v>0</v>
      </c>
      <c r="Y26" s="9">
        <f>IF(ISERROR(FIND(LEFT(Y$2,1),$D26)),0,1)</f>
        <v>0</v>
      </c>
      <c r="Z26" s="9">
        <f>IF(ISERROR(FIND(LEFT(Z$2,1),$D26)),0,1)</f>
        <v>0</v>
      </c>
      <c r="AA26" s="9">
        <f>IF(ISERROR(FIND(LEFT(AA$2,1),$D26)),0,1)</f>
        <v>0</v>
      </c>
      <c r="AB26" s="9">
        <f>IF(ISERROR(FIND(LEFT(AB$2,1),$D26)),0,1)</f>
        <v>0</v>
      </c>
      <c r="AD26" s="16" t="s">
        <v>1110</v>
      </c>
      <c r="AE26" s="109">
        <v>3</v>
      </c>
      <c r="AF26" s="105">
        <f>IF(AE26="L",VLOOKUP(AD26,'Busking Places'!$N$9:$R$28,IF($AD26="w",3,IF($AD26="c",4,IF($AD26="s",5,0)))),IF(AND(ROW(AF26)-COLUMN(AF26)=ODD(ROW(AF26)-COLUMN(AF26)),COLUMN(AF26)&gt;32,COLUMN(AF26)&lt;35),"L",VLOOKUP(AE26,'Busking Places'!$N$9:$R$28,IF($AD26="w",3,IF($AD26="c",4,IF($AD26="s",5,0))))))</f>
        <v>5</v>
      </c>
      <c r="AG26" s="105" t="str">
        <f>IF(AF26="L",VLOOKUP(AE26,'Busking Places'!$N$9:$R$28,IF($AD26="w",3,IF($AD26="c",4,IF($AD26="s",5,0)))),IF(AND(ROW(AG26)-COLUMN(AG26)=ODD(ROW(AG26)-COLUMN(AG26)),COLUMN(AG26)&gt;32,COLUMN(AG26)&lt;35),"L",VLOOKUP(AF26,'Busking Places'!$N$9:$R$28,IF($AD26="w",3,IF($AD26="c",4,IF($AD26="s",5,0))))))</f>
        <v>L</v>
      </c>
      <c r="AH26" s="105">
        <f>IF(AG26="L",VLOOKUP(AF26,'Busking Places'!$N$9:$R$28,IF($AD26="w",3,IF($AD26="c",4,IF($AD26="s",5,0)))),IF(AND(ROW(AH26)-COLUMN(AH26)=ODD(ROW(AH26)-COLUMN(AH26)),COLUMN(AH26)&gt;32,COLUMN(AH26)&lt;35),"L",VLOOKUP(AG26,'Busking Places'!$N$9:$R$28,IF($AD26="w",3,IF($AD26="c",4,IF($AD26="s",5,0))))))</f>
        <v>7</v>
      </c>
      <c r="AI26" s="105">
        <f>IF(AH26="L",VLOOKUP(AG26,'Busking Places'!$N$9:$R$28,IF($AD26="w",3,IF($AD26="c",4,IF($AD26="s",5,0)))),IF(AND(ROW(AI26)-COLUMN(AI26)=ODD(ROW(AI26)-COLUMN(AI26)),COLUMN(AI26)&gt;32,COLUMN(AI26)&lt;35),"L",VLOOKUP(AH26,'Busking Places'!$N$9:$R$28,IF($AD26="w",3,IF($AD26="c",4,IF($AD26="s",5,0))))))</f>
        <v>9</v>
      </c>
      <c r="AJ26" s="105">
        <f>IF(AI26="L",VLOOKUP(AH26,'Busking Places'!$N$9:$R$28,IF($AD26="w",3,IF($AD26="c",4,IF($AD26="s",5,0)))),IF(AND(ROW(AJ26)-COLUMN(AJ26)=ODD(ROW(AJ26)-COLUMN(AJ26)),COLUMN(AJ26)&gt;32,COLUMN(AJ26)&lt;35),"L",VLOOKUP(AI26,'Busking Places'!$N$9:$R$28,IF($AD26="w",3,IF($AD26="c",4,IF($AD26="s",5,0))))))</f>
        <v>11</v>
      </c>
      <c r="AL26" s="96" t="str">
        <f>IF(AE26="L","LUNCH",VLOOKUP(AE26,'Busking Places'!$A$3:$B$31,2,0))</f>
        <v>Jesus Green</v>
      </c>
      <c r="AM26" s="96" t="str">
        <f>IF(AF26="L","LUNCH",VLOOKUP(AF26,'Busking Places'!$A$3:$B$31,2,0))</f>
        <v>Butt Green</v>
      </c>
      <c r="AN26" s="96" t="str">
        <f>IF(AG26="L","LUNCH",VLOOKUP(AG26,'Busking Places'!$A$3:$B$31,2,0))</f>
        <v>LUNCH</v>
      </c>
      <c r="AO26" s="96" t="str">
        <f>IF(AH26="L","LUNCH",VLOOKUP(AH26,'Busking Places'!$A$3:$B$31,2,0))</f>
        <v>Christ's Pieces</v>
      </c>
      <c r="AP26" s="96" t="str">
        <f>IF(AI26="L","LUNCH",VLOOKUP(AI26,'Busking Places'!$A$3:$B$31,2,0))</f>
        <v>Eden Street</v>
      </c>
      <c r="AQ26" s="96" t="str">
        <f>IF(AJ26="L","LUNCH",VLOOKUP(AJ26,'Busking Places'!$A$3:$B$31,2,0))</f>
        <v>Alexandra Arms</v>
      </c>
    </row>
    <row r="27" spans="1:43" ht="36" customHeight="1">
      <c r="A27" s="11" t="s">
        <v>851</v>
      </c>
      <c r="B27" s="9">
        <v>10</v>
      </c>
      <c r="C27" s="9" t="s">
        <v>1058</v>
      </c>
      <c r="D27" s="9" t="s">
        <v>1074</v>
      </c>
      <c r="E27" s="11" t="s">
        <v>1193</v>
      </c>
      <c r="F27" s="189" t="s">
        <v>1194</v>
      </c>
      <c r="G27" s="9" t="s">
        <v>1195</v>
      </c>
      <c r="H27" s="11" t="s">
        <v>1196</v>
      </c>
      <c r="J27" s="96"/>
      <c r="K27" s="9" t="s">
        <v>907</v>
      </c>
      <c r="L27" s="11" t="s">
        <v>1197</v>
      </c>
      <c r="M27" s="11" t="s">
        <v>1198</v>
      </c>
      <c r="N27" s="190"/>
      <c r="O27" s="190"/>
      <c r="P27" s="9">
        <f>IF(ISERROR(FIND(P$2,$C27)),0,$B27)</f>
        <v>0</v>
      </c>
      <c r="Q27" s="9">
        <f>IF(ISERROR(FIND(Q$2,$C27)),0,$B27)</f>
        <v>10</v>
      </c>
      <c r="R27" s="9">
        <f>IF(ISERROR(FIND(R$2,$C27)),0,$B27)</f>
        <v>0</v>
      </c>
      <c r="S27" s="63">
        <f>IF(ISERROR(FIND(S$2,$C27)),0,1)</f>
        <v>0</v>
      </c>
      <c r="T27" s="63">
        <f>IF(ISERROR(FIND(T$2,$C27)),0,1)</f>
        <v>1</v>
      </c>
      <c r="U27" s="63">
        <f>IF(ISERROR(FIND(U$2,$C27)),0,1)</f>
        <v>0</v>
      </c>
      <c r="V27" s="9">
        <f>IF(ISERROR(FIND(LEFT(V$2,1),$D27)),0,1)</f>
        <v>0</v>
      </c>
      <c r="W27" s="9">
        <f>IF(ISERROR(FIND(LEFT(W$2,1),$D27)),0,1)</f>
        <v>1</v>
      </c>
      <c r="X27" s="9">
        <f>IF(ISERROR(FIND(LEFT(X$2,1),$D27)),0,1)</f>
        <v>0</v>
      </c>
      <c r="Y27" s="9">
        <f>IF(ISERROR(FIND(LEFT(Y$2,1),$D27)),0,1)</f>
        <v>0</v>
      </c>
      <c r="Z27" s="9">
        <f>IF(ISERROR(FIND(LEFT(Z$2,1),$D27)),0,1)</f>
        <v>0</v>
      </c>
      <c r="AA27" s="9">
        <f>IF(ISERROR(FIND(LEFT(AA$2,1),$D27)),0,1)</f>
        <v>0</v>
      </c>
      <c r="AB27" s="9">
        <f>IF(ISERROR(FIND(LEFT(AB$2,1),$D27)),0,1)</f>
        <v>0</v>
      </c>
      <c r="AD27" s="16" t="s">
        <v>1110</v>
      </c>
      <c r="AE27" s="109">
        <v>4</v>
      </c>
      <c r="AF27" s="105">
        <f>IF(AE27="L",VLOOKUP(AD27,'Busking Places'!$N$9:$R$28,IF($AD27="w",3,IF($AD27="c",4,IF($AD27="s",5,0)))),IF(AND(ROW(AF27)-COLUMN(AF27)=ODD(ROW(AF27)-COLUMN(AF27)),COLUMN(AF27)&gt;32,COLUMN(AF27)&lt;35),"L",VLOOKUP(AE27,'Busking Places'!$N$9:$R$28,IF($AD27="w",3,IF($AD27="c",4,IF($AD27="s",5,0))))))</f>
        <v>6</v>
      </c>
      <c r="AG27" s="105">
        <f>IF(AF27="L",VLOOKUP(AE27,'Busking Places'!$N$9:$R$28,IF($AD27="w",3,IF($AD27="c",4,IF($AD27="s",5,0)))),IF(AND(ROW(AG27)-COLUMN(AG27)=ODD(ROW(AG27)-COLUMN(AG27)),COLUMN(AG27)&gt;32,COLUMN(AG27)&lt;35),"L",VLOOKUP(AF27,'Busking Places'!$N$9:$R$28,IF($AD27="w",3,IF($AD27="c",4,IF($AD27="s",5,0))))))</f>
        <v>8</v>
      </c>
      <c r="AH27" s="105" t="str">
        <f>IF(AG27="L",VLOOKUP(AF27,'Busking Places'!$N$9:$R$28,IF($AD27="w",3,IF($AD27="c",4,IF($AD27="s",5,0)))),IF(AND(ROW(AH27)-COLUMN(AH27)=ODD(ROW(AH27)-COLUMN(AH27)),COLUMN(AH27)&gt;32,COLUMN(AH27)&lt;35),"L",VLOOKUP(AG27,'Busking Places'!$N$9:$R$28,IF($AD27="w",3,IF($AD27="c",4,IF($AD27="s",5,0))))))</f>
        <v>L</v>
      </c>
      <c r="AI27" s="105">
        <f>IF(AH27="L",VLOOKUP(AG27,'Busking Places'!$N$9:$R$28,IF($AD27="w",3,IF($AD27="c",4,IF($AD27="s",5,0)))),IF(AND(ROW(AI27)-COLUMN(AI27)=ODD(ROW(AI27)-COLUMN(AI27)),COLUMN(AI27)&gt;32,COLUMN(AI27)&lt;35),"L",VLOOKUP(AH27,'Busking Places'!$N$9:$R$28,IF($AD27="w",3,IF($AD27="c",4,IF($AD27="s",5,0))))))</f>
        <v>10</v>
      </c>
      <c r="AJ27" s="105">
        <f>IF(AI27="L",VLOOKUP(AH27,'Busking Places'!$N$9:$R$28,IF($AD27="w",3,IF($AD27="c",4,IF($AD27="s",5,0)))),IF(AND(ROW(AJ27)-COLUMN(AJ27)=ODD(ROW(AJ27)-COLUMN(AJ27)),COLUMN(AJ27)&gt;32,COLUMN(AJ27)&lt;35),"L",VLOOKUP(AI27,'Busking Places'!$N$9:$R$28,IF($AD27="w",3,IF($AD27="c",4,IF($AD27="s",5,0))))))</f>
        <v>12</v>
      </c>
      <c r="AL27" s="96" t="str">
        <f>IF(AE27="L","LUNCH",VLOOKUP(AE27,'Busking Places'!$A$3:$B$31,2,0))</f>
        <v>Fort St George</v>
      </c>
      <c r="AM27" s="96" t="str">
        <f>IF(AF27="L","LUNCH",VLOOKUP(AF27,'Busking Places'!$A$3:$B$31,2,0))</f>
        <v>Pike's Walk</v>
      </c>
      <c r="AN27" s="96" t="str">
        <f>IF(AG27="L","LUNCH",VLOOKUP(AG27,'Busking Places'!$A$3:$B$31,2,0))</f>
        <v>Fitzroy St</v>
      </c>
      <c r="AO27" s="96" t="str">
        <f>IF(AH27="L","LUNCH",VLOOKUP(AH27,'Busking Places'!$A$3:$B$31,2,0))</f>
        <v>LUNCH</v>
      </c>
      <c r="AP27" s="96" t="str">
        <f>IF(AI27="L","LUNCH",VLOOKUP(AI27,'Busking Places'!$A$3:$B$31,2,0))</f>
        <v>The Tram Depot</v>
      </c>
      <c r="AQ27" s="96" t="str">
        <f>IF(AJ27="L","LUNCH",VLOOKUP(AJ27,'Busking Places'!$A$3:$B$31,2,0))</f>
        <v>The Cambridge Blue</v>
      </c>
    </row>
    <row r="28" spans="1:43" ht="21">
      <c r="A28" s="11" t="s">
        <v>852</v>
      </c>
      <c r="B28" s="9">
        <v>11</v>
      </c>
      <c r="C28" s="9" t="s">
        <v>1059</v>
      </c>
      <c r="D28" s="9" t="s">
        <v>1074</v>
      </c>
      <c r="E28" s="11" t="s">
        <v>1199</v>
      </c>
      <c r="F28" s="191" t="s">
        <v>1200</v>
      </c>
      <c r="H28" t="s">
        <v>1201</v>
      </c>
      <c r="I28" s="9">
        <f>MATCH("Harlequin M",A$1:A$66,0)</f>
        <v>36</v>
      </c>
      <c r="J28" s="96"/>
      <c r="K28" s="9" t="s">
        <v>1091</v>
      </c>
      <c r="L28" s="11" t="s">
        <v>1202</v>
      </c>
      <c r="O28" s="190">
        <v>41712</v>
      </c>
      <c r="P28" s="9">
        <f>IF(ISERROR(FIND(P$2,$C28)),0,$B28)</f>
        <v>0</v>
      </c>
      <c r="Q28" s="9">
        <f>IF(ISERROR(FIND(Q$2,$C28)),0,$B28)</f>
        <v>0</v>
      </c>
      <c r="R28" s="9">
        <f>IF(ISERROR(FIND(R$2,$C28)),0,$B28)</f>
        <v>11</v>
      </c>
      <c r="S28" s="63">
        <f>IF(ISERROR(FIND(S$2,$C28)),0,1)</f>
        <v>0</v>
      </c>
      <c r="T28" s="63">
        <f>IF(ISERROR(FIND(T$2,$C28)),0,1)</f>
        <v>0</v>
      </c>
      <c r="U28" s="63">
        <f>IF(ISERROR(FIND(U$2,$C28)),0,1)</f>
        <v>1</v>
      </c>
      <c r="V28" s="9">
        <f>IF(ISERROR(FIND(LEFT(V$2,1),$D28)),0,1)</f>
        <v>0</v>
      </c>
      <c r="W28" s="9">
        <f>IF(ISERROR(FIND(LEFT(W$2,1),$D28)),0,1)</f>
        <v>1</v>
      </c>
      <c r="X28" s="9">
        <f>IF(ISERROR(FIND(LEFT(X$2,1),$D28)),0,1)</f>
        <v>0</v>
      </c>
      <c r="Y28" s="9">
        <f>IF(ISERROR(FIND(LEFT(Y$2,1),$D28)),0,1)</f>
        <v>0</v>
      </c>
      <c r="Z28" s="9">
        <f>IF(ISERROR(FIND(LEFT(Z$2,1),$D28)),0,1)</f>
        <v>0</v>
      </c>
      <c r="AA28" s="9">
        <f>IF(ISERROR(FIND(LEFT(AA$2,1),$D28)),0,1)</f>
        <v>0</v>
      </c>
      <c r="AB28" s="9">
        <f>IF(ISERROR(FIND(LEFT(AB$2,1),$D28)),0,1)</f>
        <v>0</v>
      </c>
      <c r="AD28" s="16" t="s">
        <v>1080</v>
      </c>
      <c r="AE28" s="109">
        <v>5</v>
      </c>
      <c r="AF28" s="105">
        <f>IF(AE28="L",VLOOKUP(AD28,'Busking Places'!$N$9:$R$28,IF($AD28="w",3,IF($AD28="c",4,IF($AD28="s",5,0)))),IF(AND(ROW(AF28)-COLUMN(AF28)=ODD(ROW(AF28)-COLUMN(AF28)),COLUMN(AF28)&gt;32,COLUMN(AF28)&lt;35),"L",VLOOKUP(AE28,'Busking Places'!$N$9:$R$28,IF($AD28="w",3,IF($AD28="c",4,IF($AD28="s",5,0))))))</f>
        <v>3</v>
      </c>
      <c r="AG28" s="105" t="str">
        <f>IF(AF28="L",VLOOKUP(AE28,'Busking Places'!$N$9:$R$28,IF($AD28="w",3,IF($AD28="c",4,IF($AD28="s",5,0)))),IF(AND(ROW(AG28)-COLUMN(AG28)=ODD(ROW(AG28)-COLUMN(AG28)),COLUMN(AG28)&gt;32,COLUMN(AG28)&lt;35),"L",VLOOKUP(AF28,'Busking Places'!$N$9:$R$28,IF($AD28="w",3,IF($AD28="c",4,IF($AD28="s",5,0))))))</f>
        <v>L</v>
      </c>
      <c r="AH28" s="105">
        <f>IF(AG28="L",VLOOKUP(AF28,'Busking Places'!$N$9:$R$28,IF($AD28="w",3,IF($AD28="c",4,IF($AD28="s",5,0)))),IF(AND(ROW(AH28)-COLUMN(AH28)=ODD(ROW(AH28)-COLUMN(AH28)),COLUMN(AH28)&gt;32,COLUMN(AH28)&lt;35),"L",VLOOKUP(AG28,'Busking Places'!$N$9:$R$28,IF($AD28="w",3,IF($AD28="c",4,IF($AD28="s",5,0))))))</f>
        <v>1</v>
      </c>
      <c r="AI28" s="105">
        <f>IF(AH28="L",VLOOKUP(AG28,'Busking Places'!$N$9:$R$28,IF($AD28="w",3,IF($AD28="c",4,IF($AD28="s",5,0)))),IF(AND(ROW(AI28)-COLUMN(AI28)=ODD(ROW(AI28)-COLUMN(AI28)),COLUMN(AI28)&gt;32,COLUMN(AI28)&lt;35),"L",VLOOKUP(AH28,'Busking Places'!$N$9:$R$28,IF($AD28="w",3,IF($AD28="c",4,IF($AD28="s",5,0))))))</f>
        <v>19</v>
      </c>
      <c r="AJ28" s="105">
        <f>IF(AI28="L",VLOOKUP(AH28,'Busking Places'!$N$9:$R$28,IF($AD28="w",3,IF($AD28="c",4,IF($AD28="s",5,0)))),IF(AND(ROW(AJ28)-COLUMN(AJ28)=ODD(ROW(AJ28)-COLUMN(AJ28)),COLUMN(AJ28)&gt;32,COLUMN(AJ28)&lt;35),"L",VLOOKUP(AI28,'Busking Places'!$N$9:$R$28,IF($AD28="w",3,IF($AD28="c",4,IF($AD28="s",5,0))))))</f>
        <v>17</v>
      </c>
      <c r="AL28" s="96" t="str">
        <f>IF(AE28="L","LUNCH",VLOOKUP(AE28,'Busking Places'!$A$3:$B$31,2,0))</f>
        <v>Butt Green</v>
      </c>
      <c r="AM28" s="96" t="str">
        <f>IF(AF28="L","LUNCH",VLOOKUP(AF28,'Busking Places'!$A$3:$B$31,2,0))</f>
        <v>Jesus Green</v>
      </c>
      <c r="AN28" s="96" t="str">
        <f>IF(AG28="L","LUNCH",VLOOKUP(AG28,'Busking Places'!$A$3:$B$31,2,0))</f>
        <v>LUNCH</v>
      </c>
      <c r="AO28" s="96" t="str">
        <f>IF(AH28="L","LUNCH",VLOOKUP(AH28,'Busking Places'!$A$3:$B$31,2,0))</f>
        <v>Quayside</v>
      </c>
      <c r="AP28" s="96" t="str">
        <f>IF(AI28="L","LUNCH",VLOOKUP(AI28,'Busking Places'!$A$3:$B$31,2,0))</f>
        <v>Gt St Mary's</v>
      </c>
      <c r="AQ28" s="96" t="str">
        <f>IF(AJ28="L","LUNCH",VLOOKUP(AJ28,'Busking Places'!$A$3:$B$31,2,0))</f>
        <v>Laundress Green</v>
      </c>
    </row>
    <row r="29" spans="1:43" ht="12.75">
      <c r="A29" s="11" t="s">
        <v>857</v>
      </c>
      <c r="B29" s="9">
        <v>14</v>
      </c>
      <c r="C29" s="9" t="s">
        <v>1058</v>
      </c>
      <c r="D29" s="9" t="s">
        <v>1074</v>
      </c>
      <c r="E29" s="205" t="s">
        <v>1203</v>
      </c>
      <c r="F29" s="189" t="s">
        <v>1204</v>
      </c>
      <c r="H29" s="9" t="s">
        <v>1205</v>
      </c>
      <c r="J29" s="96"/>
      <c r="L29" s="11" t="s">
        <v>1206</v>
      </c>
      <c r="N29" s="190">
        <v>41566</v>
      </c>
      <c r="O29" s="190"/>
      <c r="P29" s="9">
        <f>IF(ISERROR(FIND(P$2,$C29)),0,$B29)</f>
        <v>0</v>
      </c>
      <c r="Q29" s="9">
        <f>IF(ISERROR(FIND(Q$2,$C29)),0,$B29)</f>
        <v>14</v>
      </c>
      <c r="R29" s="9">
        <f>IF(ISERROR(FIND(R$2,$C29)),0,$B29)</f>
        <v>0</v>
      </c>
      <c r="S29" s="63">
        <f>IF(ISERROR(FIND(S$2,$C29)),0,1)</f>
        <v>0</v>
      </c>
      <c r="T29" s="63">
        <f>IF(ISERROR(FIND(T$2,$C29)),0,1)</f>
        <v>1</v>
      </c>
      <c r="U29" s="63">
        <f>IF(ISERROR(FIND(U$2,$C29)),0,1)</f>
        <v>0</v>
      </c>
      <c r="V29" s="9">
        <f>IF(ISERROR(FIND(LEFT(V$2,1),$D29)),0,1)</f>
        <v>0</v>
      </c>
      <c r="W29" s="9">
        <f>IF(ISERROR(FIND(LEFT(W$2,1),$D29)),0,1)</f>
        <v>1</v>
      </c>
      <c r="X29" s="9">
        <f>IF(ISERROR(FIND(LEFT(X$2,1),$D29)),0,1)</f>
        <v>0</v>
      </c>
      <c r="Y29" s="9">
        <f>IF(ISERROR(FIND(LEFT(Y$2,1),$D29)),0,1)</f>
        <v>0</v>
      </c>
      <c r="Z29" s="9">
        <f>IF(ISERROR(FIND(LEFT(Z$2,1),$D29)),0,1)</f>
        <v>0</v>
      </c>
      <c r="AA29" s="9">
        <f>IF(ISERROR(FIND(LEFT(AA$2,1),$D29)),0,1)</f>
        <v>0</v>
      </c>
      <c r="AB29" s="9">
        <f>IF(ISERROR(FIND(LEFT(AB$2,1),$D29)),0,1)</f>
        <v>0</v>
      </c>
      <c r="AD29" s="16" t="s">
        <v>1110</v>
      </c>
      <c r="AE29" s="109">
        <v>5</v>
      </c>
      <c r="AF29" s="105">
        <f>IF(AE29="L",VLOOKUP(AD29,'Busking Places'!$N$9:$R$28,IF($AD29="w",3,IF($AD29="c",4,IF($AD29="s",5,0)))),IF(AND(ROW(AF29)-COLUMN(AF29)=ODD(ROW(AF29)-COLUMN(AF29)),COLUMN(AF29)&gt;32,COLUMN(AF29)&lt;35),"L",VLOOKUP(AE29,'Busking Places'!$N$9:$R$28,IF($AD29="w",3,IF($AD29="c",4,IF($AD29="s",5,0))))))</f>
        <v>7</v>
      </c>
      <c r="AG29" s="105">
        <f>IF(AF29="L",VLOOKUP(AE29,'Busking Places'!$N$9:$R$28,IF($AD29="w",3,IF($AD29="c",4,IF($AD29="s",5,0)))),IF(AND(ROW(AG29)-COLUMN(AG29)=ODD(ROW(AG29)-COLUMN(AG29)),COLUMN(AG29)&gt;32,COLUMN(AG29)&lt;35),"L",VLOOKUP(AF29,'Busking Places'!$N$9:$R$28,IF($AD29="w",3,IF($AD29="c",4,IF($AD29="s",5,0))))))</f>
        <v>9</v>
      </c>
      <c r="AH29" s="105" t="str">
        <f>IF(AG29="L",VLOOKUP(AF29,'Busking Places'!$N$9:$R$28,IF($AD29="w",3,IF($AD29="c",4,IF($AD29="s",5,0)))),IF(AND(ROW(AH29)-COLUMN(AH29)=ODD(ROW(AH29)-COLUMN(AH29)),COLUMN(AH29)&gt;32,COLUMN(AH29)&lt;35),"L",VLOOKUP(AG29,'Busking Places'!$N$9:$R$28,IF($AD29="w",3,IF($AD29="c",4,IF($AD29="s",5,0))))))</f>
        <v>L</v>
      </c>
      <c r="AI29" s="105">
        <f>IF(AH29="L",VLOOKUP(AG29,'Busking Places'!$N$9:$R$28,IF($AD29="w",3,IF($AD29="c",4,IF($AD29="s",5,0)))),IF(AND(ROW(AI29)-COLUMN(AI29)=ODD(ROW(AI29)-COLUMN(AI29)),COLUMN(AI29)&gt;32,COLUMN(AI29)&lt;35),"L",VLOOKUP(AH29,'Busking Places'!$N$9:$R$28,IF($AD29="w",3,IF($AD29="c",4,IF($AD29="s",5,0))))))</f>
        <v>11</v>
      </c>
      <c r="AJ29" s="105">
        <f>IF(AI29="L",VLOOKUP(AH29,'Busking Places'!$N$9:$R$28,IF($AD29="w",3,IF($AD29="c",4,IF($AD29="s",5,0)))),IF(AND(ROW(AJ29)-COLUMN(AJ29)=ODD(ROW(AJ29)-COLUMN(AJ29)),COLUMN(AJ29)&gt;32,COLUMN(AJ29)&lt;35),"L",VLOOKUP(AI29,'Busking Places'!$N$9:$R$28,IF($AD29="w",3,IF($AD29="c",4,IF($AD29="s",5,0))))))</f>
        <v>13</v>
      </c>
      <c r="AL29" s="96" t="str">
        <f>IF(AE29="L","LUNCH",VLOOKUP(AE29,'Busking Places'!$A$3:$B$31,2,0))</f>
        <v>Butt Green</v>
      </c>
      <c r="AM29" s="96" t="str">
        <f>IF(AF29="L","LUNCH",VLOOKUP(AF29,'Busking Places'!$A$3:$B$31,2,0))</f>
        <v>Christ's Pieces</v>
      </c>
      <c r="AN29" s="96" t="str">
        <f>IF(AG29="L","LUNCH",VLOOKUP(AG29,'Busking Places'!$A$3:$B$31,2,0))</f>
        <v>Eden Street</v>
      </c>
      <c r="AO29" s="96" t="str">
        <f>IF(AH29="L","LUNCH",VLOOKUP(AH29,'Busking Places'!$A$3:$B$31,2,0))</f>
        <v>LUNCH</v>
      </c>
      <c r="AP29" s="96" t="str">
        <f>IF(AI29="L","LUNCH",VLOOKUP(AI29,'Busking Places'!$A$3:$B$31,2,0))</f>
        <v>Alexandra Arms</v>
      </c>
      <c r="AQ29" s="96" t="str">
        <f>IF(AJ29="L","LUNCH",VLOOKUP(AJ29,'Busking Places'!$A$3:$B$31,2,0))</f>
        <v>Covent Garden</v>
      </c>
    </row>
    <row r="30" spans="1:43" ht="12.75">
      <c r="A30" s="11" t="s">
        <v>858</v>
      </c>
      <c r="B30" s="9">
        <v>10</v>
      </c>
      <c r="C30" s="9" t="s">
        <v>1057</v>
      </c>
      <c r="D30" s="9" t="s">
        <v>1074</v>
      </c>
      <c r="E30" s="11" t="s">
        <v>1207</v>
      </c>
      <c r="F30" s="204" t="s">
        <v>1208</v>
      </c>
      <c r="H30" s="9" t="s">
        <v>1209</v>
      </c>
      <c r="J30" s="96"/>
      <c r="K30" s="9" t="s">
        <v>907</v>
      </c>
      <c r="O30" s="190">
        <v>41705</v>
      </c>
      <c r="P30" s="9">
        <f>IF(ISERROR(FIND(P$2,$C30)),0,$B30)</f>
        <v>10</v>
      </c>
      <c r="Q30" s="9">
        <f>IF(ISERROR(FIND(Q$2,$C30)),0,$B30)</f>
        <v>0</v>
      </c>
      <c r="R30" s="9">
        <f>IF(ISERROR(FIND(R$2,$C30)),0,$B30)</f>
        <v>0</v>
      </c>
      <c r="S30" s="63">
        <f>IF(ISERROR(FIND(S$2,$C30)),0,1)</f>
        <v>1</v>
      </c>
      <c r="T30" s="63">
        <f>IF(ISERROR(FIND(T$2,$C30)),0,1)</f>
        <v>0</v>
      </c>
      <c r="U30" s="63">
        <f>IF(ISERROR(FIND(U$2,$C30)),0,1)</f>
        <v>0</v>
      </c>
      <c r="V30" s="9">
        <f>IF(ISERROR(FIND(LEFT(V$2,1),$D30)),0,1)</f>
        <v>0</v>
      </c>
      <c r="W30" s="9">
        <f>IF(ISERROR(FIND(LEFT(W$2,1),$D30)),0,1)</f>
        <v>1</v>
      </c>
      <c r="X30" s="9">
        <f>IF(ISERROR(FIND(LEFT(X$2,1),$D30)),0,1)</f>
        <v>0</v>
      </c>
      <c r="Y30" s="9">
        <f>IF(ISERROR(FIND(LEFT(Y$2,1),$D30)),0,1)</f>
        <v>0</v>
      </c>
      <c r="Z30" s="9">
        <f>IF(ISERROR(FIND(LEFT(Z$2,1),$D30)),0,1)</f>
        <v>0</v>
      </c>
      <c r="AA30" s="9">
        <f>IF(ISERROR(FIND(LEFT(AA$2,1),$D30)),0,1)</f>
        <v>0</v>
      </c>
      <c r="AB30" s="9">
        <f>IF(ISERROR(FIND(LEFT(AB$2,1),$D30)),0,1)</f>
        <v>0</v>
      </c>
      <c r="AD30" s="16" t="s">
        <v>1080</v>
      </c>
      <c r="AE30" s="109">
        <v>6</v>
      </c>
      <c r="AF30" s="105">
        <f>IF(AE30="L",VLOOKUP(AD30,'Busking Places'!$N$9:$R$28,IF($AD30="w",3,IF($AD30="c",4,IF($AD30="s",5,0)))),IF(AND(ROW(AF30)-COLUMN(AF30)=ODD(ROW(AF30)-COLUMN(AF30)),COLUMN(AF30)&gt;32,COLUMN(AF30)&lt;35),"L",VLOOKUP(AE30,'Busking Places'!$N$9:$R$28,IF($AD30="w",3,IF($AD30="c",4,IF($AD30="s",5,0))))))</f>
        <v>4</v>
      </c>
      <c r="AG30" s="105" t="str">
        <f>IF(AF30="L",VLOOKUP(AE30,'Busking Places'!$N$9:$R$28,IF($AD30="w",3,IF($AD30="c",4,IF($AD30="s",5,0)))),IF(AND(ROW(AG30)-COLUMN(AG30)=ODD(ROW(AG30)-COLUMN(AG30)),COLUMN(AG30)&gt;32,COLUMN(AG30)&lt;35),"L",VLOOKUP(AF30,'Busking Places'!$N$9:$R$28,IF($AD30="w",3,IF($AD30="c",4,IF($AD30="s",5,0))))))</f>
        <v>L</v>
      </c>
      <c r="AH30" s="105">
        <f>IF(AG30="L",VLOOKUP(AF30,'Busking Places'!$N$9:$R$28,IF($AD30="w",3,IF($AD30="c",4,IF($AD30="s",5,0)))),IF(AND(ROW(AH30)-COLUMN(AH30)=ODD(ROW(AH30)-COLUMN(AH30)),COLUMN(AH30)&gt;32,COLUMN(AH30)&lt;35),"L",VLOOKUP(AG30,'Busking Places'!$N$9:$R$28,IF($AD30="w",3,IF($AD30="c",4,IF($AD30="s",5,0))))))</f>
        <v>2</v>
      </c>
      <c r="AI30" s="105">
        <f>IF(AH30="L",VLOOKUP(AG30,'Busking Places'!$N$9:$R$28,IF($AD30="w",3,IF($AD30="c",4,IF($AD30="s",5,0)))),IF(AND(ROW(AI30)-COLUMN(AI30)=ODD(ROW(AI30)-COLUMN(AI30)),COLUMN(AI30)&gt;32,COLUMN(AI30)&lt;35),"L",VLOOKUP(AH30,'Busking Places'!$N$9:$R$28,IF($AD30="w",3,IF($AD30="c",4,IF($AD30="s",5,0))))))</f>
        <v>20</v>
      </c>
      <c r="AJ30" s="105">
        <f>IF(AI30="L",VLOOKUP(AH30,'Busking Places'!$N$9:$R$28,IF($AD30="w",3,IF($AD30="c",4,IF($AD30="s",5,0)))),IF(AND(ROW(AJ30)-COLUMN(AJ30)=ODD(ROW(AJ30)-COLUMN(AJ30)),COLUMN(AJ30)&gt;32,COLUMN(AJ30)&lt;35),"L",VLOOKUP(AI30,'Busking Places'!$N$9:$R$28,IF($AD30="w",3,IF($AD30="c",4,IF($AD30="s",5,0))))))</f>
        <v>18</v>
      </c>
      <c r="AL30" s="96" t="str">
        <f>IF(AE30="L","LUNCH",VLOOKUP(AE30,'Busking Places'!$A$3:$B$31,2,0))</f>
        <v>Pike's Walk</v>
      </c>
      <c r="AM30" s="96" t="str">
        <f>IF(AF30="L","LUNCH",VLOOKUP(AF30,'Busking Places'!$A$3:$B$31,2,0))</f>
        <v>Fort St George</v>
      </c>
      <c r="AN30" s="96" t="str">
        <f>IF(AG30="L","LUNCH",VLOOKUP(AG30,'Busking Places'!$A$3:$B$31,2,0))</f>
        <v>LUNCH</v>
      </c>
      <c r="AO30" s="96" t="str">
        <f>IF(AH30="L","LUNCH",VLOOKUP(AH30,'Busking Places'!$A$3:$B$31,2,0))</f>
        <v>The Maypole</v>
      </c>
      <c r="AP30" s="96" t="str">
        <f>IF(AI30="L","LUNCH",VLOOKUP(AI30,'Busking Places'!$A$3:$B$31,2,0))</f>
        <v>Sidney Street</v>
      </c>
      <c r="AQ30" s="96" t="str">
        <f>IF(AJ30="L","LUNCH",VLOOKUP(AJ30,'Busking Places'!$A$3:$B$31,2,0))</f>
        <v>Guildhall, Mkt. Hill</v>
      </c>
    </row>
    <row r="31" spans="1:43" ht="12.75">
      <c r="A31" s="11" t="s">
        <v>859</v>
      </c>
      <c r="B31" s="9">
        <v>12</v>
      </c>
      <c r="C31" s="9" t="s">
        <v>1058</v>
      </c>
      <c r="D31" s="9" t="s">
        <v>1074</v>
      </c>
      <c r="E31" s="11" t="s">
        <v>1210</v>
      </c>
      <c r="F31" s="189" t="s">
        <v>1211</v>
      </c>
      <c r="J31" s="96"/>
      <c r="L31" s="11" t="s">
        <v>1212</v>
      </c>
      <c r="N31" s="190">
        <v>41560</v>
      </c>
      <c r="O31" s="190"/>
      <c r="P31" s="9">
        <f>IF(ISERROR(FIND(P$2,$C31)),0,$B31)</f>
        <v>0</v>
      </c>
      <c r="Q31" s="9">
        <f>IF(ISERROR(FIND(Q$2,$C31)),0,$B31)</f>
        <v>12</v>
      </c>
      <c r="R31" s="9">
        <f>IF(ISERROR(FIND(R$2,$C31)),0,$B31)</f>
        <v>0</v>
      </c>
      <c r="S31" s="63">
        <f>IF(ISERROR(FIND(S$2,$C31)),0,1)</f>
        <v>0</v>
      </c>
      <c r="T31" s="63">
        <f>IF(ISERROR(FIND(T$2,$C31)),0,1)</f>
        <v>1</v>
      </c>
      <c r="U31" s="63">
        <f>IF(ISERROR(FIND(U$2,$C31)),0,1)</f>
        <v>0</v>
      </c>
      <c r="V31" s="9">
        <f>IF(ISERROR(FIND(LEFT(V$2,1),$D31)),0,1)</f>
        <v>0</v>
      </c>
      <c r="W31" s="9">
        <f>IF(ISERROR(FIND(LEFT(W$2,1),$D31)),0,1)</f>
        <v>1</v>
      </c>
      <c r="X31" s="9">
        <f>IF(ISERROR(FIND(LEFT(X$2,1),$D31)),0,1)</f>
        <v>0</v>
      </c>
      <c r="Y31" s="9">
        <f>IF(ISERROR(FIND(LEFT(Y$2,1),$D31)),0,1)</f>
        <v>0</v>
      </c>
      <c r="Z31" s="9">
        <f>IF(ISERROR(FIND(LEFT(Z$2,1),$D31)),0,1)</f>
        <v>0</v>
      </c>
      <c r="AA31" s="9">
        <f>IF(ISERROR(FIND(LEFT(AA$2,1),$D31)),0,1)</f>
        <v>0</v>
      </c>
      <c r="AB31" s="9">
        <f>IF(ISERROR(FIND(LEFT(AB$2,1),$D31)),0,1)</f>
        <v>0</v>
      </c>
      <c r="AD31" s="16" t="s">
        <v>1110</v>
      </c>
      <c r="AE31" s="109">
        <v>6</v>
      </c>
      <c r="AF31" s="105">
        <f>IF(AE31="L",VLOOKUP(AD31,'Busking Places'!$N$9:$R$28,IF($AD31="w",3,IF($AD31="c",4,IF($AD31="s",5,0)))),IF(AND(ROW(AF31)-COLUMN(AF31)=ODD(ROW(AF31)-COLUMN(AF31)),COLUMN(AF31)&gt;32,COLUMN(AF31)&lt;35),"L",VLOOKUP(AE31,'Busking Places'!$N$9:$R$28,IF($AD31="w",3,IF($AD31="c",4,IF($AD31="s",5,0))))))</f>
        <v>8</v>
      </c>
      <c r="AG31" s="105">
        <f>IF(AF31="L",VLOOKUP(AE31,'Busking Places'!$N$9:$R$28,IF($AD31="w",3,IF($AD31="c",4,IF($AD31="s",5,0)))),IF(AND(ROW(AG31)-COLUMN(AG31)=ODD(ROW(AG31)-COLUMN(AG31)),COLUMN(AG31)&gt;32,COLUMN(AG31)&lt;35),"L",VLOOKUP(AF31,'Busking Places'!$N$9:$R$28,IF($AD31="w",3,IF($AD31="c",4,IF($AD31="s",5,0))))))</f>
        <v>10</v>
      </c>
      <c r="AH31" s="105" t="str">
        <f>IF(AG31="L",VLOOKUP(AF31,'Busking Places'!$N$9:$R$28,IF($AD31="w",3,IF($AD31="c",4,IF($AD31="s",5,0)))),IF(AND(ROW(AH31)-COLUMN(AH31)=ODD(ROW(AH31)-COLUMN(AH31)),COLUMN(AH31)&gt;32,COLUMN(AH31)&lt;35),"L",VLOOKUP(AG31,'Busking Places'!$N$9:$R$28,IF($AD31="w",3,IF($AD31="c",4,IF($AD31="s",5,0))))))</f>
        <v>L</v>
      </c>
      <c r="AI31" s="105">
        <f>IF(AH31="L",VLOOKUP(AG31,'Busking Places'!$N$9:$R$28,IF($AD31="w",3,IF($AD31="c",4,IF($AD31="s",5,0)))),IF(AND(ROW(AI31)-COLUMN(AI31)=ODD(ROW(AI31)-COLUMN(AI31)),COLUMN(AI31)&gt;32,COLUMN(AI31)&lt;35),"L",VLOOKUP(AH31,'Busking Places'!$N$9:$R$28,IF($AD31="w",3,IF($AD31="c",4,IF($AD31="s",5,0))))))</f>
        <v>12</v>
      </c>
      <c r="AJ31" s="105">
        <f>IF(AI31="L",VLOOKUP(AH31,'Busking Places'!$N$9:$R$28,IF($AD31="w",3,IF($AD31="c",4,IF($AD31="s",5,0)))),IF(AND(ROW(AJ31)-COLUMN(AJ31)=ODD(ROW(AJ31)-COLUMN(AJ31)),COLUMN(AJ31)&gt;32,COLUMN(AJ31)&lt;35),"L",VLOOKUP(AI31,'Busking Places'!$N$9:$R$28,IF($AD31="w",3,IF($AD31="c",4,IF($AD31="s",5,0))))))</f>
        <v>14</v>
      </c>
      <c r="AL31" s="96" t="str">
        <f>IF(AE31="L","LUNCH",VLOOKUP(AE31,'Busking Places'!$A$3:$B$31,2,0))</f>
        <v>Pike's Walk</v>
      </c>
      <c r="AM31" s="96" t="str">
        <f>IF(AF31="L","LUNCH",VLOOKUP(AF31,'Busking Places'!$A$3:$B$31,2,0))</f>
        <v>Fitzroy St</v>
      </c>
      <c r="AN31" s="96" t="str">
        <f>IF(AG31="L","LUNCH",VLOOKUP(AG31,'Busking Places'!$A$3:$B$31,2,0))</f>
        <v>The Tram Depot</v>
      </c>
      <c r="AO31" s="96" t="str">
        <f>IF(AH31="L","LUNCH",VLOOKUP(AH31,'Busking Places'!$A$3:$B$31,2,0))</f>
        <v>LUNCH</v>
      </c>
      <c r="AP31" s="96" t="str">
        <f>IF(AI31="L","LUNCH",VLOOKUP(AI31,'Busking Places'!$A$3:$B$31,2,0))</f>
        <v>The Cambridge Blue</v>
      </c>
      <c r="AQ31" s="96" t="str">
        <f>IF(AJ31="L","LUNCH",VLOOKUP(AJ31,'Busking Places'!$A$3:$B$31,2,0))</f>
        <v>Mawson Road</v>
      </c>
    </row>
    <row r="32" spans="1:43" ht="12.75">
      <c r="A32" s="11" t="s">
        <v>864</v>
      </c>
      <c r="B32" s="9">
        <v>12</v>
      </c>
      <c r="C32" s="9" t="s">
        <v>1059</v>
      </c>
      <c r="D32" s="9" t="s">
        <v>1074</v>
      </c>
      <c r="E32" s="11" t="s">
        <v>1213</v>
      </c>
      <c r="F32" s="189" t="s">
        <v>421</v>
      </c>
      <c r="H32" s="9" t="s">
        <v>420</v>
      </c>
      <c r="J32" s="96"/>
      <c r="K32" s="9" t="s">
        <v>907</v>
      </c>
      <c r="L32" s="11" t="s">
        <v>1214</v>
      </c>
      <c r="M32" s="11" t="s">
        <v>1215</v>
      </c>
      <c r="N32" s="190">
        <v>41617</v>
      </c>
      <c r="O32" s="190">
        <v>41712</v>
      </c>
      <c r="P32" s="9">
        <f>IF(ISERROR(FIND(P$2,$C32)),0,$B32)</f>
        <v>0</v>
      </c>
      <c r="Q32" s="9">
        <f>IF(ISERROR(FIND(Q$2,$C32)),0,$B32)</f>
        <v>0</v>
      </c>
      <c r="R32" s="9">
        <f>IF(ISERROR(FIND(R$2,$C32)),0,$B32)</f>
        <v>12</v>
      </c>
      <c r="S32" s="63">
        <f>IF(ISERROR(FIND(S$2,$C32)),0,1)</f>
        <v>0</v>
      </c>
      <c r="T32" s="63">
        <f>IF(ISERROR(FIND(T$2,$C32)),0,1)</f>
        <v>0</v>
      </c>
      <c r="U32" s="63">
        <f>IF(ISERROR(FIND(U$2,$C32)),0,1)</f>
        <v>1</v>
      </c>
      <c r="V32" s="9">
        <f>IF(ISERROR(FIND(LEFT(V$2,1),$D32)),0,1)</f>
        <v>0</v>
      </c>
      <c r="W32" s="9">
        <f>IF(ISERROR(FIND(LEFT(W$2,1),$D32)),0,1)</f>
        <v>1</v>
      </c>
      <c r="X32" s="9">
        <f>IF(ISERROR(FIND(LEFT(X$2,1),$D32)),0,1)</f>
        <v>0</v>
      </c>
      <c r="Y32" s="9">
        <f>IF(ISERROR(FIND(LEFT(Y$2,1),$D32)),0,1)</f>
        <v>0</v>
      </c>
      <c r="Z32" s="9">
        <f>IF(ISERROR(FIND(LEFT(Z$2,1),$D32)),0,1)</f>
        <v>0</v>
      </c>
      <c r="AA32" s="9">
        <f>IF(ISERROR(FIND(LEFT(AA$2,1),$D32)),0,1)</f>
        <v>0</v>
      </c>
      <c r="AB32" s="9">
        <f>IF(ISERROR(FIND(LEFT(AB$2,1),$D32)),0,1)</f>
        <v>0</v>
      </c>
      <c r="AD32" s="16" t="s">
        <v>1110</v>
      </c>
      <c r="AE32" s="109">
        <v>7</v>
      </c>
      <c r="AF32" s="105">
        <f>IF(AE32="L",VLOOKUP(AD32,'Busking Places'!$N$9:$R$28,IF($AD32="w",3,IF($AD32="c",4,IF($AD32="s",5,0)))),IF(AND(ROW(AF32)-COLUMN(AF32)=ODD(ROW(AF32)-COLUMN(AF32)),COLUMN(AF32)&gt;32,COLUMN(AF32)&lt;35),"L",VLOOKUP(AE32,'Busking Places'!$N$9:$R$28,IF($AD32="w",3,IF($AD32="c",4,IF($AD32="s",5,0))))))</f>
        <v>9</v>
      </c>
      <c r="AG32" s="105" t="str">
        <f>IF(AF32="L",VLOOKUP(AE32,'Busking Places'!$N$9:$R$28,IF($AD32="w",3,IF($AD32="c",4,IF($AD32="s",5,0)))),IF(AND(ROW(AG32)-COLUMN(AG32)=ODD(ROW(AG32)-COLUMN(AG32)),COLUMN(AG32)&gt;32,COLUMN(AG32)&lt;35),"L",VLOOKUP(AF32,'Busking Places'!$N$9:$R$28,IF($AD32="w",3,IF($AD32="c",4,IF($AD32="s",5,0))))))</f>
        <v>L</v>
      </c>
      <c r="AH32" s="105">
        <f>IF(AG32="L",VLOOKUP(AF32,'Busking Places'!$N$9:$R$28,IF($AD32="w",3,IF($AD32="c",4,IF($AD32="s",5,0)))),IF(AND(ROW(AH32)-COLUMN(AH32)=ODD(ROW(AH32)-COLUMN(AH32)),COLUMN(AH32)&gt;32,COLUMN(AH32)&lt;35),"L",VLOOKUP(AG32,'Busking Places'!$N$9:$R$28,IF($AD32="w",3,IF($AD32="c",4,IF($AD32="s",5,0))))))</f>
        <v>11</v>
      </c>
      <c r="AI32" s="105">
        <f>IF(AH32="L",VLOOKUP(AG32,'Busking Places'!$N$9:$R$28,IF($AD32="w",3,IF($AD32="c",4,IF($AD32="s",5,0)))),IF(AND(ROW(AI32)-COLUMN(AI32)=ODD(ROW(AI32)-COLUMN(AI32)),COLUMN(AI32)&gt;32,COLUMN(AI32)&lt;35),"L",VLOOKUP(AH32,'Busking Places'!$N$9:$R$28,IF($AD32="w",3,IF($AD32="c",4,IF($AD32="s",5,0))))))</f>
        <v>13</v>
      </c>
      <c r="AJ32" s="105">
        <f>IF(AI32="L",VLOOKUP(AH32,'Busking Places'!$N$9:$R$28,IF($AD32="w",3,IF($AD32="c",4,IF($AD32="s",5,0)))),IF(AND(ROW(AJ32)-COLUMN(AJ32)=ODD(ROW(AJ32)-COLUMN(AJ32)),COLUMN(AJ32)&gt;32,COLUMN(AJ32)&lt;35),"L",VLOOKUP(AI32,'Busking Places'!$N$9:$R$28,IF($AD32="w",3,IF($AD32="c",4,IF($AD32="s",5,0))))))</f>
        <v>15</v>
      </c>
      <c r="AL32" s="96" t="str">
        <f>IF(AE32="L","LUNCH",VLOOKUP(AE32,'Busking Places'!$A$3:$B$31,2,0))</f>
        <v>Christ's Pieces</v>
      </c>
      <c r="AM32" s="96" t="str">
        <f>IF(AF32="L","LUNCH",VLOOKUP(AF32,'Busking Places'!$A$3:$B$31,2,0))</f>
        <v>Eden Street</v>
      </c>
      <c r="AN32" s="96" t="str">
        <f>IF(AG32="L","LUNCH",VLOOKUP(AG32,'Busking Places'!$A$3:$B$31,2,0))</f>
        <v>LUNCH</v>
      </c>
      <c r="AO32" s="96" t="str">
        <f>IF(AH32="L","LUNCH",VLOOKUP(AH32,'Busking Places'!$A$3:$B$31,2,0))</f>
        <v>Alexandra Arms</v>
      </c>
      <c r="AP32" s="96" t="str">
        <f>IF(AI32="L","LUNCH",VLOOKUP(AI32,'Busking Places'!$A$3:$B$31,2,0))</f>
        <v>Covent Garden</v>
      </c>
      <c r="AQ32" s="96" t="str">
        <f>IF(AJ32="L","LUNCH",VLOOKUP(AJ32,'Busking Places'!$A$3:$B$31,2,0))</f>
        <v>Regent Terrace, S</v>
      </c>
    </row>
    <row r="33" spans="1:43" ht="12.75">
      <c r="A33" s="11" t="s">
        <v>866</v>
      </c>
      <c r="B33" s="9">
        <v>14</v>
      </c>
      <c r="C33" s="9" t="s">
        <v>1057</v>
      </c>
      <c r="D33" s="9" t="s">
        <v>1074</v>
      </c>
      <c r="E33" s="11" t="s">
        <v>1216</v>
      </c>
      <c r="F33" s="191" t="s">
        <v>1217</v>
      </c>
      <c r="H33" s="9" t="s">
        <v>1218</v>
      </c>
      <c r="J33" s="96"/>
      <c r="K33" s="9" t="s">
        <v>1091</v>
      </c>
      <c r="O33" s="190">
        <v>41701</v>
      </c>
      <c r="P33" s="9">
        <f>IF(ISERROR(FIND(P$2,$C33)),0,$B33)</f>
        <v>14</v>
      </c>
      <c r="Q33" s="9">
        <f>IF(ISERROR(FIND(Q$2,$C33)),0,$B33)</f>
        <v>0</v>
      </c>
      <c r="R33" s="9">
        <f>IF(ISERROR(FIND(R$2,$C33)),0,$B33)</f>
        <v>0</v>
      </c>
      <c r="S33" s="63">
        <f>IF(ISERROR(FIND(S$2,$C33)),0,1)</f>
        <v>1</v>
      </c>
      <c r="T33" s="63">
        <f>IF(ISERROR(FIND(T$2,$C33)),0,1)</f>
        <v>0</v>
      </c>
      <c r="U33" s="63">
        <f>IF(ISERROR(FIND(U$2,$C33)),0,1)</f>
        <v>0</v>
      </c>
      <c r="V33" s="9">
        <f>IF(ISERROR(FIND(LEFT(V$2,1),$D33)),0,1)</f>
        <v>0</v>
      </c>
      <c r="W33" s="9">
        <f>IF(ISERROR(FIND(LEFT(W$2,1),$D33)),0,1)</f>
        <v>1</v>
      </c>
      <c r="X33" s="9">
        <f>IF(ISERROR(FIND(LEFT(X$2,1),$D33)),0,1)</f>
        <v>0</v>
      </c>
      <c r="Y33" s="9">
        <f>IF(ISERROR(FIND(LEFT(Y$2,1),$D33)),0,1)</f>
        <v>0</v>
      </c>
      <c r="Z33" s="9">
        <f>IF(ISERROR(FIND(LEFT(Z$2,1),$D33)),0,1)</f>
        <v>0</v>
      </c>
      <c r="AA33" s="9">
        <f>IF(ISERROR(FIND(LEFT(AA$2,1),$D33)),0,1)</f>
        <v>0</v>
      </c>
      <c r="AB33" s="9">
        <f>IF(ISERROR(FIND(LEFT(AB$2,1),$D33)),0,1)</f>
        <v>0</v>
      </c>
      <c r="AD33" s="16" t="s">
        <v>1080</v>
      </c>
      <c r="AE33" s="109">
        <v>8</v>
      </c>
      <c r="AF33" s="105">
        <f>IF(AE33="L",VLOOKUP(AD33,'Busking Places'!$N$9:$R$28,IF($AD33="w",3,IF($AD33="c",4,IF($AD33="s",5,0)))),IF(AND(ROW(AF33)-COLUMN(AF33)=ODD(ROW(AF33)-COLUMN(AF33)),COLUMN(AF33)&gt;32,COLUMN(AF33)&lt;35),"L",VLOOKUP(AE33,'Busking Places'!$N$9:$R$28,IF($AD33="w",3,IF($AD33="c",4,IF($AD33="s",5,0))))))</f>
        <v>6</v>
      </c>
      <c r="AG33" s="105">
        <f>IF(AF33="L",VLOOKUP(AE33,'Busking Places'!$N$9:$R$28,IF($AD33="w",3,IF($AD33="c",4,IF($AD33="s",5,0)))),IF(AND(ROW(AG33)-COLUMN(AG33)=ODD(ROW(AG33)-COLUMN(AG33)),COLUMN(AG33)&gt;32,COLUMN(AG33)&lt;35),"L",VLOOKUP(AF33,'Busking Places'!$N$9:$R$28,IF($AD33="w",3,IF($AD33="c",4,IF($AD33="s",5,0))))))</f>
        <v>4</v>
      </c>
      <c r="AH33" s="105" t="str">
        <f>IF(AG33="L",VLOOKUP(AF33,'Busking Places'!$N$9:$R$28,IF($AD33="w",3,IF($AD33="c",4,IF($AD33="s",5,0)))),IF(AND(ROW(AH33)-COLUMN(AH33)=ODD(ROW(AH33)-COLUMN(AH33)),COLUMN(AH33)&gt;32,COLUMN(AH33)&lt;35),"L",VLOOKUP(AG33,'Busking Places'!$N$9:$R$28,IF($AD33="w",3,IF($AD33="c",4,IF($AD33="s",5,0))))))</f>
        <v>L</v>
      </c>
      <c r="AI33" s="105">
        <f>IF(AH33="L",VLOOKUP(AG33,'Busking Places'!$N$9:$R$28,IF($AD33="w",3,IF($AD33="c",4,IF($AD33="s",5,0)))),IF(AND(ROW(AI33)-COLUMN(AI33)=ODD(ROW(AI33)-COLUMN(AI33)),COLUMN(AI33)&gt;32,COLUMN(AI33)&lt;35),"L",VLOOKUP(AH33,'Busking Places'!$N$9:$R$28,IF($AD33="w",3,IF($AD33="c",4,IF($AD33="s",5,0))))))</f>
        <v>2</v>
      </c>
      <c r="AJ33" s="105">
        <f>IF(AI33="L",VLOOKUP(AH33,'Busking Places'!$N$9:$R$28,IF($AD33="w",3,IF($AD33="c",4,IF($AD33="s",5,0)))),IF(AND(ROW(AJ33)-COLUMN(AJ33)=ODD(ROW(AJ33)-COLUMN(AJ33)),COLUMN(AJ33)&gt;32,COLUMN(AJ33)&lt;35),"L",VLOOKUP(AI33,'Busking Places'!$N$9:$R$28,IF($AD33="w",3,IF($AD33="c",4,IF($AD33="s",5,0))))))</f>
        <v>20</v>
      </c>
      <c r="AL33" s="96" t="str">
        <f>IF(AE33="L","LUNCH",VLOOKUP(AE33,'Busking Places'!$A$3:$B$31,2,0))</f>
        <v>Fitzroy St</v>
      </c>
      <c r="AM33" s="96" t="str">
        <f>IF(AF33="L","LUNCH",VLOOKUP(AF33,'Busking Places'!$A$3:$B$31,2,0))</f>
        <v>Pike's Walk</v>
      </c>
      <c r="AN33" s="96" t="str">
        <f>IF(AG33="L","LUNCH",VLOOKUP(AG33,'Busking Places'!$A$3:$B$31,2,0))</f>
        <v>Fort St George</v>
      </c>
      <c r="AO33" s="96" t="str">
        <f>IF(AH33="L","LUNCH",VLOOKUP(AH33,'Busking Places'!$A$3:$B$31,2,0))</f>
        <v>LUNCH</v>
      </c>
      <c r="AP33" s="96" t="str">
        <f>IF(AI33="L","LUNCH",VLOOKUP(AI33,'Busking Places'!$A$3:$B$31,2,0))</f>
        <v>The Maypole</v>
      </c>
      <c r="AQ33" s="96" t="str">
        <f>IF(AJ33="L","LUNCH",VLOOKUP(AJ33,'Busking Places'!$A$3:$B$31,2,0))</f>
        <v>Sidney Street</v>
      </c>
    </row>
    <row r="34" spans="1:43" ht="36" customHeight="1">
      <c r="A34" s="11" t="s">
        <v>868</v>
      </c>
      <c r="B34" s="9">
        <v>21</v>
      </c>
      <c r="C34" s="9" t="s">
        <v>1059</v>
      </c>
      <c r="D34" s="9" t="s">
        <v>1074</v>
      </c>
      <c r="E34" s="11" t="s">
        <v>1219</v>
      </c>
      <c r="F34" s="191" t="s">
        <v>1220</v>
      </c>
      <c r="G34" s="11" t="s">
        <v>1221</v>
      </c>
      <c r="H34" s="11" t="s">
        <v>1222</v>
      </c>
      <c r="J34" s="96"/>
      <c r="K34" s="9" t="s">
        <v>1091</v>
      </c>
      <c r="L34" s="11" t="s">
        <v>1223</v>
      </c>
      <c r="O34" s="190">
        <v>41712</v>
      </c>
      <c r="P34" s="9">
        <f>IF(ISERROR(FIND(P$2,$C34)),0,$B34)</f>
        <v>0</v>
      </c>
      <c r="Q34" s="9">
        <f>IF(ISERROR(FIND(Q$2,$C34)),0,$B34)</f>
        <v>0</v>
      </c>
      <c r="R34" s="9">
        <f>IF(ISERROR(FIND(R$2,$C34)),0,$B34)</f>
        <v>21</v>
      </c>
      <c r="S34" s="63">
        <f>IF(ISERROR(FIND(S$2,$C34)),0,1)</f>
        <v>0</v>
      </c>
      <c r="T34" s="63">
        <f>IF(ISERROR(FIND(T$2,$C34)),0,1)</f>
        <v>0</v>
      </c>
      <c r="U34" s="63">
        <f>IF(ISERROR(FIND(U$2,$C34)),0,1)</f>
        <v>1</v>
      </c>
      <c r="V34" s="9">
        <f>IF(ISERROR(FIND(LEFT(V$2,1),$D34)),0,1)</f>
        <v>0</v>
      </c>
      <c r="W34" s="9">
        <f>IF(ISERROR(FIND(LEFT(W$2,1),$D34)),0,1)</f>
        <v>1</v>
      </c>
      <c r="X34" s="9">
        <f>IF(ISERROR(FIND(LEFT(X$2,1),$D34)),0,1)</f>
        <v>0</v>
      </c>
      <c r="Y34" s="9">
        <f>IF(ISERROR(FIND(LEFT(Y$2,1),$D34)),0,1)</f>
        <v>0</v>
      </c>
      <c r="Z34" s="9">
        <f>IF(ISERROR(FIND(LEFT(Z$2,1),$D34)),0,1)</f>
        <v>0</v>
      </c>
      <c r="AA34" s="9">
        <f>IF(ISERROR(FIND(LEFT(AA$2,1),$D34)),0,1)</f>
        <v>0</v>
      </c>
      <c r="AB34" s="9">
        <f>IF(ISERROR(FIND(LEFT(AB$2,1),$D34)),0,1)</f>
        <v>0</v>
      </c>
      <c r="AD34" s="16" t="s">
        <v>1110</v>
      </c>
      <c r="AE34" s="109">
        <v>8</v>
      </c>
      <c r="AF34" s="105">
        <f>IF(AE34="L",VLOOKUP(AD34,'Busking Places'!$N$9:$R$28,IF($AD34="w",3,IF($AD34="c",4,IF($AD34="s",5,0)))),IF(AND(ROW(AF34)-COLUMN(AF34)=ODD(ROW(AF34)-COLUMN(AF34)),COLUMN(AF34)&gt;32,COLUMN(AF34)&lt;35),"L",VLOOKUP(AE34,'Busking Places'!$N$9:$R$28,IF($AD34="w",3,IF($AD34="c",4,IF($AD34="s",5,0))))))</f>
        <v>10</v>
      </c>
      <c r="AG34" s="105" t="str">
        <f>IF(AF34="L",VLOOKUP(AE34,'Busking Places'!$N$9:$R$28,IF($AD34="w",3,IF($AD34="c",4,IF($AD34="s",5,0)))),IF(AND(ROW(AG34)-COLUMN(AG34)=ODD(ROW(AG34)-COLUMN(AG34)),COLUMN(AG34)&gt;32,COLUMN(AG34)&lt;35),"L",VLOOKUP(AF34,'Busking Places'!$N$9:$R$28,IF($AD34="w",3,IF($AD34="c",4,IF($AD34="s",5,0))))))</f>
        <v>L</v>
      </c>
      <c r="AH34" s="105">
        <f>IF(AG34="L",VLOOKUP(AF34,'Busking Places'!$N$9:$R$28,IF($AD34="w",3,IF($AD34="c",4,IF($AD34="s",5,0)))),IF(AND(ROW(AH34)-COLUMN(AH34)=ODD(ROW(AH34)-COLUMN(AH34)),COLUMN(AH34)&gt;32,COLUMN(AH34)&lt;35),"L",VLOOKUP(AG34,'Busking Places'!$N$9:$R$28,IF($AD34="w",3,IF($AD34="c",4,IF($AD34="s",5,0))))))</f>
        <v>12</v>
      </c>
      <c r="AI34" s="105">
        <f>IF(AH34="L",VLOOKUP(AG34,'Busking Places'!$N$9:$R$28,IF($AD34="w",3,IF($AD34="c",4,IF($AD34="s",5,0)))),IF(AND(ROW(AI34)-COLUMN(AI34)=ODD(ROW(AI34)-COLUMN(AI34)),COLUMN(AI34)&gt;32,COLUMN(AI34)&lt;35),"L",VLOOKUP(AH34,'Busking Places'!$N$9:$R$28,IF($AD34="w",3,IF($AD34="c",4,IF($AD34="s",5,0))))))</f>
        <v>14</v>
      </c>
      <c r="AJ34" s="105">
        <f>IF(AI34="L",VLOOKUP(AH34,'Busking Places'!$N$9:$R$28,IF($AD34="w",3,IF($AD34="c",4,IF($AD34="s",5,0)))),IF(AND(ROW(AJ34)-COLUMN(AJ34)=ODD(ROW(AJ34)-COLUMN(AJ34)),COLUMN(AJ34)&gt;32,COLUMN(AJ34)&lt;35),"L",VLOOKUP(AI34,'Busking Places'!$N$9:$R$28,IF($AD34="w",3,IF($AD34="c",4,IF($AD34="s",5,0))))))</f>
        <v>16</v>
      </c>
      <c r="AL34" s="96" t="str">
        <f>IF(AE34="L","LUNCH",VLOOKUP(AE34,'Busking Places'!$A$3:$B$31,2,0))</f>
        <v>Fitzroy St</v>
      </c>
      <c r="AM34" s="96" t="str">
        <f>IF(AF34="L","LUNCH",VLOOKUP(AF34,'Busking Places'!$A$3:$B$31,2,0))</f>
        <v>The Tram Depot</v>
      </c>
      <c r="AN34" s="96" t="str">
        <f>IF(AG34="L","LUNCH",VLOOKUP(AG34,'Busking Places'!$A$3:$B$31,2,0))</f>
        <v>LUNCH</v>
      </c>
      <c r="AO34" s="96" t="str">
        <f>IF(AH34="L","LUNCH",VLOOKUP(AH34,'Busking Places'!$A$3:$B$31,2,0))</f>
        <v>The Cambridge Blue</v>
      </c>
      <c r="AP34" s="96" t="str">
        <f>IF(AI34="L","LUNCH",VLOOKUP(AI34,'Busking Places'!$A$3:$B$31,2,0))</f>
        <v>Mawson Road</v>
      </c>
      <c r="AQ34" s="96" t="str">
        <f>IF(AJ34="L","LUNCH",VLOOKUP(AJ34,'Busking Places'!$A$3:$B$31,2,0))</f>
        <v>Regent Terrace, N</v>
      </c>
    </row>
    <row r="35" spans="1:43" ht="12.75">
      <c r="A35" s="11" t="s">
        <v>871</v>
      </c>
      <c r="B35" s="9">
        <v>15</v>
      </c>
      <c r="C35" s="9" t="s">
        <v>1058</v>
      </c>
      <c r="D35" s="9" t="s">
        <v>1074</v>
      </c>
      <c r="E35" s="11" t="s">
        <v>1224</v>
      </c>
      <c r="F35" s="189" t="s">
        <v>1225</v>
      </c>
      <c r="H35" s="9" t="s">
        <v>1226</v>
      </c>
      <c r="J35" s="96"/>
      <c r="K35" s="9" t="s">
        <v>1091</v>
      </c>
      <c r="L35" s="11" t="s">
        <v>1227</v>
      </c>
      <c r="M35" s="11" t="s">
        <v>1228</v>
      </c>
      <c r="N35" s="190">
        <v>41613</v>
      </c>
      <c r="P35" s="9">
        <f>IF(ISERROR(FIND(P$2,$C35)),0,$B35)</f>
        <v>0</v>
      </c>
      <c r="Q35" s="9">
        <f>IF(ISERROR(FIND(Q$2,$C35)),0,$B35)</f>
        <v>15</v>
      </c>
      <c r="R35" s="9">
        <f>IF(ISERROR(FIND(R$2,$C35)),0,$B35)</f>
        <v>0</v>
      </c>
      <c r="S35" s="63">
        <f>IF(ISERROR(FIND(S$2,$C35)),0,1)</f>
        <v>0</v>
      </c>
      <c r="T35" s="63">
        <f>IF(ISERROR(FIND(T$2,$C35)),0,1)</f>
        <v>1</v>
      </c>
      <c r="U35" s="63">
        <f>IF(ISERROR(FIND(U$2,$C35)),0,1)</f>
        <v>0</v>
      </c>
      <c r="V35" s="9">
        <f>IF(ISERROR(FIND(LEFT(V$2,1),$D35)),0,1)</f>
        <v>0</v>
      </c>
      <c r="W35" s="9">
        <f>IF(ISERROR(FIND(LEFT(W$2,1),$D35)),0,1)</f>
        <v>1</v>
      </c>
      <c r="X35" s="9">
        <f>IF(ISERROR(FIND(LEFT(X$2,1),$D35)),0,1)</f>
        <v>0</v>
      </c>
      <c r="Y35" s="9">
        <f>IF(ISERROR(FIND(LEFT(Y$2,1),$D35)),0,1)</f>
        <v>0</v>
      </c>
      <c r="Z35" s="9">
        <f>IF(ISERROR(FIND(LEFT(Z$2,1),$D35)),0,1)</f>
        <v>0</v>
      </c>
      <c r="AA35" s="9">
        <f>IF(ISERROR(FIND(LEFT(AA$2,1),$D35)),0,1)</f>
        <v>0</v>
      </c>
      <c r="AB35" s="9">
        <f>IF(ISERROR(FIND(LEFT(AB$2,1),$D35)),0,1)</f>
        <v>0</v>
      </c>
      <c r="AD35" s="16" t="s">
        <v>1080</v>
      </c>
      <c r="AE35" s="109">
        <v>9</v>
      </c>
      <c r="AF35" s="105">
        <f>IF(AE35="L",VLOOKUP(AD35,'Busking Places'!$N$9:$R$28,IF($AD35="w",3,IF($AD35="c",4,IF($AD35="s",5,0)))),IF(AND(ROW(AF35)-COLUMN(AF35)=ODD(ROW(AF35)-COLUMN(AF35)),COLUMN(AF35)&gt;32,COLUMN(AF35)&lt;35),"L",VLOOKUP(AE35,'Busking Places'!$N$9:$R$28,IF($AD35="w",3,IF($AD35="c",4,IF($AD35="s",5,0))))))</f>
        <v>7</v>
      </c>
      <c r="AG35" s="105">
        <f>IF(AF35="L",VLOOKUP(AE35,'Busking Places'!$N$9:$R$28,IF($AD35="w",3,IF($AD35="c",4,IF($AD35="s",5,0)))),IF(AND(ROW(AG35)-COLUMN(AG35)=ODD(ROW(AG35)-COLUMN(AG35)),COLUMN(AG35)&gt;32,COLUMN(AG35)&lt;35),"L",VLOOKUP(AF35,'Busking Places'!$N$9:$R$28,IF($AD35="w",3,IF($AD35="c",4,IF($AD35="s",5,0))))))</f>
        <v>5</v>
      </c>
      <c r="AH35" s="105" t="str">
        <f>IF(AG35="L",VLOOKUP(AF35,'Busking Places'!$N$9:$R$28,IF($AD35="w",3,IF($AD35="c",4,IF($AD35="s",5,0)))),IF(AND(ROW(AH35)-COLUMN(AH35)=ODD(ROW(AH35)-COLUMN(AH35)),COLUMN(AH35)&gt;32,COLUMN(AH35)&lt;35),"L",VLOOKUP(AG35,'Busking Places'!$N$9:$R$28,IF($AD35="w",3,IF($AD35="c",4,IF($AD35="s",5,0))))))</f>
        <v>L</v>
      </c>
      <c r="AI35" s="105">
        <f>IF(AH35="L",VLOOKUP(AG35,'Busking Places'!$N$9:$R$28,IF($AD35="w",3,IF($AD35="c",4,IF($AD35="s",5,0)))),IF(AND(ROW(AI35)-COLUMN(AI35)=ODD(ROW(AI35)-COLUMN(AI35)),COLUMN(AI35)&gt;32,COLUMN(AI35)&lt;35),"L",VLOOKUP(AH35,'Busking Places'!$N$9:$R$28,IF($AD35="w",3,IF($AD35="c",4,IF($AD35="s",5,0))))))</f>
        <v>3</v>
      </c>
      <c r="AJ35" s="105">
        <f>IF(AI35="L",VLOOKUP(AH35,'Busking Places'!$N$9:$R$28,IF($AD35="w",3,IF($AD35="c",4,IF($AD35="s",5,0)))),IF(AND(ROW(AJ35)-COLUMN(AJ35)=ODD(ROW(AJ35)-COLUMN(AJ35)),COLUMN(AJ35)&gt;32,COLUMN(AJ35)&lt;35),"L",VLOOKUP(AI35,'Busking Places'!$N$9:$R$28,IF($AD35="w",3,IF($AD35="c",4,IF($AD35="s",5,0))))))</f>
        <v>1</v>
      </c>
      <c r="AL35" s="96" t="str">
        <f>IF(AE35="L","LUNCH",VLOOKUP(AE35,'Busking Places'!$A$3:$B$31,2,0))</f>
        <v>Eden Street</v>
      </c>
      <c r="AM35" s="96" t="str">
        <f>IF(AF35="L","LUNCH",VLOOKUP(AF35,'Busking Places'!$A$3:$B$31,2,0))</f>
        <v>Christ's Pieces</v>
      </c>
      <c r="AN35" s="96" t="str">
        <f>IF(AG35="L","LUNCH",VLOOKUP(AG35,'Busking Places'!$A$3:$B$31,2,0))</f>
        <v>Butt Green</v>
      </c>
      <c r="AO35" s="96" t="str">
        <f>IF(AH35="L","LUNCH",VLOOKUP(AH35,'Busking Places'!$A$3:$B$31,2,0))</f>
        <v>LUNCH</v>
      </c>
      <c r="AP35" s="96" t="str">
        <f>IF(AI35="L","LUNCH",VLOOKUP(AI35,'Busking Places'!$A$3:$B$31,2,0))</f>
        <v>Jesus Green</v>
      </c>
      <c r="AQ35" s="96" t="str">
        <f>IF(AJ35="L","LUNCH",VLOOKUP(AJ35,'Busking Places'!$A$3:$B$31,2,0))</f>
        <v>Quayside</v>
      </c>
    </row>
    <row r="36" spans="1:43" s="63" customFormat="1" ht="21">
      <c r="A36" s="64" t="s">
        <v>873</v>
      </c>
      <c r="B36" s="63">
        <v>9</v>
      </c>
      <c r="C36" s="63" t="s">
        <v>1059</v>
      </c>
      <c r="D36" s="63" t="s">
        <v>1074</v>
      </c>
      <c r="E36" s="64" t="s">
        <v>1229</v>
      </c>
      <c r="F36" s="199" t="s">
        <v>1230</v>
      </c>
      <c r="H36" s="63" t="s">
        <v>1231</v>
      </c>
      <c r="I36" s="63">
        <f>MATCH("Bunnies from Hell",A$1:A$66,0)</f>
        <v>28</v>
      </c>
      <c r="J36" s="196"/>
      <c r="K36" s="63" t="s">
        <v>1091</v>
      </c>
      <c r="L36" s="64" t="s">
        <v>1232</v>
      </c>
      <c r="M36" s="64" t="s">
        <v>1233</v>
      </c>
      <c r="O36" s="197">
        <v>41712</v>
      </c>
      <c r="P36" s="63">
        <f>IF(ISERROR(FIND(P$2,$C36)),0,$B36)</f>
        <v>0</v>
      </c>
      <c r="Q36" s="63">
        <f>IF(ISERROR(FIND(Q$2,$C36)),0,$B36)</f>
        <v>0</v>
      </c>
      <c r="R36" s="63">
        <f>IF(ISERROR(FIND(R$2,$C36)),0,$B36)</f>
        <v>9</v>
      </c>
      <c r="S36" s="63">
        <f>IF(ISERROR(FIND(S$2,$C36)),0,1)</f>
        <v>0</v>
      </c>
      <c r="T36" s="63">
        <f>IF(ISERROR(FIND(T$2,$C36)),0,1)</f>
        <v>0</v>
      </c>
      <c r="U36" s="63">
        <f>IF(ISERROR(FIND(U$2,$C36)),0,1)</f>
        <v>1</v>
      </c>
      <c r="V36" s="63">
        <f>IF(ISERROR(FIND(LEFT(V$2,1),$D36)),0,1)</f>
        <v>0</v>
      </c>
      <c r="W36" s="63">
        <f>IF(ISERROR(FIND(LEFT(W$2,1),$D36)),0,1)</f>
        <v>1</v>
      </c>
      <c r="X36" s="63">
        <f>IF(ISERROR(FIND(LEFT(X$2,1),$D36)),0,1)</f>
        <v>0</v>
      </c>
      <c r="Y36" s="63">
        <f>IF(ISERROR(FIND(LEFT(Y$2,1),$D36)),0,1)</f>
        <v>0</v>
      </c>
      <c r="Z36" s="63">
        <f>IF(ISERROR(FIND(LEFT(Z$2,1),$D36)),0,1)</f>
        <v>0</v>
      </c>
      <c r="AA36" s="63">
        <f>IF(ISERROR(FIND(LEFT(AA$2,1),$D36)),0,1)</f>
        <v>0</v>
      </c>
      <c r="AB36" s="63">
        <f>IF(ISERROR(FIND(LEFT(AB$2,1),$D36)),0,1)</f>
        <v>0</v>
      </c>
      <c r="AD36" s="198" t="s">
        <v>1080</v>
      </c>
      <c r="AE36" s="201">
        <v>7</v>
      </c>
      <c r="AF36" s="125">
        <f>IF(AE36="L",VLOOKUP(AD36,'Busking Places'!$N$9:$R$28,IF($AD36="w",3,IF($AD36="c",4,IF($AD36="s",5,0)))),IF(AND(ROW(AF36)-COLUMN(AF36)=ODD(ROW(AF36)-COLUMN(AF36)),COLUMN(AF36)&gt;32,COLUMN(AF36)&lt;35),"L",VLOOKUP(AE36,'Busking Places'!$N$9:$R$28,IF($AD36="w",3,IF($AD36="c",4,IF($AD36="s",5,0))))))</f>
        <v>5</v>
      </c>
      <c r="AG36" s="125" t="str">
        <f>IF(AF36="L",VLOOKUP(AE36,'Busking Places'!$N$9:$R$28,IF($AD36="w",3,IF($AD36="c",4,IF($AD36="s",5,0)))),IF(AND(ROW(AG36)-COLUMN(AG36)=ODD(ROW(AG36)-COLUMN(AG36)),COLUMN(AG36)&gt;32,COLUMN(AG36)&lt;35),"L",VLOOKUP(AF36,'Busking Places'!$N$9:$R$28,IF($AD36="w",3,IF($AD36="c",4,IF($AD36="s",5,0))))))</f>
        <v>L</v>
      </c>
      <c r="AH36" s="125">
        <f>IF(AG36="L",VLOOKUP(AF36,'Busking Places'!$N$9:$R$28,IF($AD36="w",3,IF($AD36="c",4,IF($AD36="s",5,0)))),IF(AND(ROW(AH36)-COLUMN(AH36)=ODD(ROW(AH36)-COLUMN(AH36)),COLUMN(AH36)&gt;32,COLUMN(AH36)&lt;35),"L",VLOOKUP(AG36,'Busking Places'!$N$9:$R$28,IF($AD36="w",3,IF($AD36="c",4,IF($AD36="s",5,0))))))</f>
        <v>3</v>
      </c>
      <c r="AI36" s="125">
        <f>IF(AH36="L",VLOOKUP(AG36,'Busking Places'!$N$9:$R$28,IF($AD36="w",3,IF($AD36="c",4,IF($AD36="s",5,0)))),IF(AND(ROW(AI36)-COLUMN(AI36)=ODD(ROW(AI36)-COLUMN(AI36)),COLUMN(AI36)&gt;32,COLUMN(AI36)&lt;35),"L",VLOOKUP(AH36,'Busking Places'!$N$9:$R$28,IF($AD36="w",3,IF($AD36="c",4,IF($AD36="s",5,0))))))</f>
        <v>1</v>
      </c>
      <c r="AJ36" s="125">
        <f>IF(AI36="L",VLOOKUP(AH36,'Busking Places'!$N$9:$R$28,IF($AD36="w",3,IF($AD36="c",4,IF($AD36="s",5,0)))),IF(AND(ROW(AJ36)-COLUMN(AJ36)=ODD(ROW(AJ36)-COLUMN(AJ36)),COLUMN(AJ36)&gt;32,COLUMN(AJ36)&lt;35),"L",VLOOKUP(AI36,'Busking Places'!$N$9:$R$28,IF($AD36="w",3,IF($AD36="c",4,IF($AD36="s",5,0))))))</f>
        <v>19</v>
      </c>
      <c r="AL36" s="96" t="str">
        <f>IF(AE36="L","LUNCH",VLOOKUP(AE36,'Busking Places'!$A$3:$B$31,2,0))</f>
        <v>Christ's Pieces</v>
      </c>
      <c r="AM36" s="96" t="str">
        <f>IF(AF36="L","LUNCH",VLOOKUP(AF36,'Busking Places'!$A$3:$B$31,2,0))</f>
        <v>Butt Green</v>
      </c>
      <c r="AN36" s="96" t="str">
        <f>IF(AG36="L","LUNCH",VLOOKUP(AG36,'Busking Places'!$A$3:$B$31,2,0))</f>
        <v>LUNCH</v>
      </c>
      <c r="AO36" s="96" t="str">
        <f>IF(AH36="L","LUNCH",VLOOKUP(AH36,'Busking Places'!$A$3:$B$31,2,0))</f>
        <v>Jesus Green</v>
      </c>
      <c r="AP36" s="96" t="str">
        <f>IF(AI36="L","LUNCH",VLOOKUP(AI36,'Busking Places'!$A$3:$B$31,2,0))</f>
        <v>Quayside</v>
      </c>
      <c r="AQ36" s="96" t="str">
        <f>IF(AJ36="L","LUNCH",VLOOKUP(AJ36,'Busking Places'!$A$3:$B$31,2,0))</f>
        <v>Gt St Mary's</v>
      </c>
    </row>
    <row r="37" spans="1:43" ht="24.75">
      <c r="A37" s="11" t="s">
        <v>875</v>
      </c>
      <c r="B37" s="9">
        <v>15</v>
      </c>
      <c r="C37" s="9" t="s">
        <v>1057</v>
      </c>
      <c r="D37" s="9" t="s">
        <v>1074</v>
      </c>
      <c r="E37" s="11" t="s">
        <v>1234</v>
      </c>
      <c r="F37" s="191" t="s">
        <v>1235</v>
      </c>
      <c r="H37" s="9" t="s">
        <v>1236</v>
      </c>
      <c r="J37" s="96"/>
      <c r="K37" s="9" t="s">
        <v>1085</v>
      </c>
      <c r="M37" s="11" t="s">
        <v>1237</v>
      </c>
      <c r="O37" s="190">
        <v>41701</v>
      </c>
      <c r="P37" s="9">
        <f>IF(ISERROR(FIND(P$2,$C37)),0,$B37)</f>
        <v>15</v>
      </c>
      <c r="Q37" s="9">
        <f>IF(ISERROR(FIND(Q$2,$C37)),0,$B37)</f>
        <v>0</v>
      </c>
      <c r="R37" s="9">
        <f>IF(ISERROR(FIND(R$2,$C37)),0,$B37)</f>
        <v>0</v>
      </c>
      <c r="S37" s="63">
        <f>IF(ISERROR(FIND(S$2,$C37)),0,1)</f>
        <v>1</v>
      </c>
      <c r="T37" s="63">
        <f>IF(ISERROR(FIND(T$2,$C37)),0,1)</f>
        <v>0</v>
      </c>
      <c r="U37" s="63">
        <f>IF(ISERROR(FIND(U$2,$C37)),0,1)</f>
        <v>0</v>
      </c>
      <c r="V37" s="9">
        <f>IF(ISERROR(FIND(LEFT(V$2,1),$D37)),0,1)</f>
        <v>0</v>
      </c>
      <c r="W37" s="9">
        <f>IF(ISERROR(FIND(LEFT(W$2,1),$D37)),0,1)</f>
        <v>1</v>
      </c>
      <c r="X37" s="9">
        <f>IF(ISERROR(FIND(LEFT(X$2,1),$D37)),0,1)</f>
        <v>0</v>
      </c>
      <c r="Y37" s="9">
        <f>IF(ISERROR(FIND(LEFT(Y$2,1),$D37)),0,1)</f>
        <v>0</v>
      </c>
      <c r="Z37" s="9">
        <f>IF(ISERROR(FIND(LEFT(Z$2,1),$D37)),0,1)</f>
        <v>0</v>
      </c>
      <c r="AA37" s="9">
        <f>IF(ISERROR(FIND(LEFT(AA$2,1),$D37)),0,1)</f>
        <v>0</v>
      </c>
      <c r="AB37" s="9">
        <f>IF(ISERROR(FIND(LEFT(AB$2,1),$D37)),0,1)</f>
        <v>0</v>
      </c>
      <c r="AD37" s="16" t="s">
        <v>1110</v>
      </c>
      <c r="AE37" s="109">
        <v>9</v>
      </c>
      <c r="AF37" s="105">
        <f>IF(AE37="L",VLOOKUP(AD37,'Busking Places'!$N$9:$R$28,IF($AD37="w",3,IF($AD37="c",4,IF($AD37="s",5,0)))),IF(AND(ROW(AF37)-COLUMN(AF37)=ODD(ROW(AF37)-COLUMN(AF37)),COLUMN(AF37)&gt;32,COLUMN(AF37)&lt;35),"L",VLOOKUP(AE37,'Busking Places'!$N$9:$R$28,IF($AD37="w",3,IF($AD37="c",4,IF($AD37="s",5,0))))))</f>
        <v>11</v>
      </c>
      <c r="AG37" s="105">
        <f>IF(AF37="L",VLOOKUP(AE37,'Busking Places'!$N$9:$R$28,IF($AD37="w",3,IF($AD37="c",4,IF($AD37="s",5,0)))),IF(AND(ROW(AG37)-COLUMN(AG37)=ODD(ROW(AG37)-COLUMN(AG37)),COLUMN(AG37)&gt;32,COLUMN(AG37)&lt;35),"L",VLOOKUP(AF37,'Busking Places'!$N$9:$R$28,IF($AD37="w",3,IF($AD37="c",4,IF($AD37="s",5,0))))))</f>
        <v>13</v>
      </c>
      <c r="AH37" s="105" t="str">
        <f>IF(AG37="L",VLOOKUP(AF37,'Busking Places'!$N$9:$R$28,IF($AD37="w",3,IF($AD37="c",4,IF($AD37="s",5,0)))),IF(AND(ROW(AH37)-COLUMN(AH37)=ODD(ROW(AH37)-COLUMN(AH37)),COLUMN(AH37)&gt;32,COLUMN(AH37)&lt;35),"L",VLOOKUP(AG37,'Busking Places'!$N$9:$R$28,IF($AD37="w",3,IF($AD37="c",4,IF($AD37="s",5,0))))))</f>
        <v>L</v>
      </c>
      <c r="AI37" s="105">
        <f>IF(AH37="L",VLOOKUP(AG37,'Busking Places'!$N$9:$R$28,IF($AD37="w",3,IF($AD37="c",4,IF($AD37="s",5,0)))),IF(AND(ROW(AI37)-COLUMN(AI37)=ODD(ROW(AI37)-COLUMN(AI37)),COLUMN(AI37)&gt;32,COLUMN(AI37)&lt;35),"L",VLOOKUP(AH37,'Busking Places'!$N$9:$R$28,IF($AD37="w",3,IF($AD37="c",4,IF($AD37="s",5,0))))))</f>
        <v>15</v>
      </c>
      <c r="AJ37" s="105">
        <f>IF(AI37="L",VLOOKUP(AH37,'Busking Places'!$N$9:$R$28,IF($AD37="w",3,IF($AD37="c",4,IF($AD37="s",5,0)))),IF(AND(ROW(AJ37)-COLUMN(AJ37)=ODD(ROW(AJ37)-COLUMN(AJ37)),COLUMN(AJ37)&gt;32,COLUMN(AJ37)&lt;35),"L",VLOOKUP(AI37,'Busking Places'!$N$9:$R$28,IF($AD37="w",3,IF($AD37="c",4,IF($AD37="s",5,0))))))</f>
        <v>17</v>
      </c>
      <c r="AL37" s="96" t="str">
        <f>IF(AE37="L","LUNCH",VLOOKUP(AE37,'Busking Places'!$A$3:$B$31,2,0))</f>
        <v>Eden Street</v>
      </c>
      <c r="AM37" s="96" t="str">
        <f>IF(AF37="L","LUNCH",VLOOKUP(AF37,'Busking Places'!$A$3:$B$31,2,0))</f>
        <v>Alexandra Arms</v>
      </c>
      <c r="AN37" s="96" t="str">
        <f>IF(AG37="L","LUNCH",VLOOKUP(AG37,'Busking Places'!$A$3:$B$31,2,0))</f>
        <v>Covent Garden</v>
      </c>
      <c r="AO37" s="96" t="str">
        <f>IF(AH37="L","LUNCH",VLOOKUP(AH37,'Busking Places'!$A$3:$B$31,2,0))</f>
        <v>LUNCH</v>
      </c>
      <c r="AP37" s="96" t="str">
        <f>IF(AI37="L","LUNCH",VLOOKUP(AI37,'Busking Places'!$A$3:$B$31,2,0))</f>
        <v>Regent Terrace, S</v>
      </c>
      <c r="AQ37" s="96" t="str">
        <f>IF(AJ37="L","LUNCH",VLOOKUP(AJ37,'Busking Places'!$A$3:$B$31,2,0))</f>
        <v>Laundress Green</v>
      </c>
    </row>
    <row r="38" spans="1:43" ht="24.75" customHeight="1">
      <c r="A38" s="11" t="s">
        <v>879</v>
      </c>
      <c r="B38" s="9">
        <v>10</v>
      </c>
      <c r="C38" s="9" t="s">
        <v>1059</v>
      </c>
      <c r="D38" s="9" t="s">
        <v>1074</v>
      </c>
      <c r="E38" s="11" t="s">
        <v>1238</v>
      </c>
      <c r="F38" s="204" t="s">
        <v>1239</v>
      </c>
      <c r="G38" s="9" t="s">
        <v>1240</v>
      </c>
      <c r="H38" s="11" t="s">
        <v>1241</v>
      </c>
      <c r="J38" s="96"/>
      <c r="K38" s="9" t="s">
        <v>907</v>
      </c>
      <c r="L38" s="11" t="s">
        <v>1242</v>
      </c>
      <c r="O38" s="190">
        <v>41713</v>
      </c>
      <c r="P38" s="9">
        <f>IF(ISERROR(FIND(P$2,$C38)),0,$B38)</f>
        <v>0</v>
      </c>
      <c r="Q38" s="9">
        <f>IF(ISERROR(FIND(Q$2,$C38)),0,$B38)</f>
        <v>0</v>
      </c>
      <c r="R38" s="9">
        <f>IF(ISERROR(FIND(R$2,$C38)),0,$B38)</f>
        <v>10</v>
      </c>
      <c r="S38" s="63">
        <f>IF(ISERROR(FIND(S$2,$C38)),0,1)</f>
        <v>0</v>
      </c>
      <c r="T38" s="63">
        <f>IF(ISERROR(FIND(T$2,$C38)),0,1)</f>
        <v>0</v>
      </c>
      <c r="U38" s="63">
        <f>IF(ISERROR(FIND(U$2,$C38)),0,1)</f>
        <v>1</v>
      </c>
      <c r="V38" s="9">
        <f>IF(ISERROR(FIND(LEFT(V$2,1),$D38)),0,1)</f>
        <v>0</v>
      </c>
      <c r="W38" s="9">
        <f>IF(ISERROR(FIND(LEFT(W$2,1),$D38)),0,1)</f>
        <v>1</v>
      </c>
      <c r="X38" s="9">
        <f>IF(ISERROR(FIND(LEFT(X$2,1),$D38)),0,1)</f>
        <v>0</v>
      </c>
      <c r="Y38" s="9">
        <f>IF(ISERROR(FIND(LEFT(Y$2,1),$D38)),0,1)</f>
        <v>0</v>
      </c>
      <c r="Z38" s="9">
        <f>IF(ISERROR(FIND(LEFT(Z$2,1),$D38)),0,1)</f>
        <v>0</v>
      </c>
      <c r="AA38" s="9">
        <f>IF(ISERROR(FIND(LEFT(AA$2,1),$D38)),0,1)</f>
        <v>0</v>
      </c>
      <c r="AB38" s="9">
        <f>IF(ISERROR(FIND(LEFT(AB$2,1),$D38)),0,1)</f>
        <v>0</v>
      </c>
      <c r="AD38" s="16" t="s">
        <v>1080</v>
      </c>
      <c r="AE38" s="109">
        <v>10</v>
      </c>
      <c r="AF38" s="105">
        <f>IF(AE38="L",VLOOKUP(AD38,'Busking Places'!$N$9:$R$28,IF($AD38="w",3,IF($AD38="c",4,IF($AD38="s",5,0)))),IF(AND(ROW(AF38)-COLUMN(AF38)=ODD(ROW(AF38)-COLUMN(AF38)),COLUMN(AF38)&gt;32,COLUMN(AF38)&lt;35),"L",VLOOKUP(AE38,'Busking Places'!$N$9:$R$28,IF($AD38="w",3,IF($AD38="c",4,IF($AD38="s",5,0))))))</f>
        <v>8</v>
      </c>
      <c r="AG38" s="105" t="str">
        <f>IF(AF38="L",VLOOKUP(AE38,'Busking Places'!$N$9:$R$28,IF($AD38="w",3,IF($AD38="c",4,IF($AD38="s",5,0)))),IF(AND(ROW(AG38)-COLUMN(AG38)=ODD(ROW(AG38)-COLUMN(AG38)),COLUMN(AG38)&gt;32,COLUMN(AG38)&lt;35),"L",VLOOKUP(AF38,'Busking Places'!$N$9:$R$28,IF($AD38="w",3,IF($AD38="c",4,IF($AD38="s",5,0))))))</f>
        <v>L</v>
      </c>
      <c r="AH38" s="105">
        <f>IF(AG38="L",VLOOKUP(AF38,'Busking Places'!$N$9:$R$28,IF($AD38="w",3,IF($AD38="c",4,IF($AD38="s",5,0)))),IF(AND(ROW(AH38)-COLUMN(AH38)=ODD(ROW(AH38)-COLUMN(AH38)),COLUMN(AH38)&gt;32,COLUMN(AH38)&lt;35),"L",VLOOKUP(AG38,'Busking Places'!$N$9:$R$28,IF($AD38="w",3,IF($AD38="c",4,IF($AD38="s",5,0))))))</f>
        <v>6</v>
      </c>
      <c r="AI38" s="105">
        <f>IF(AH38="L",VLOOKUP(AG38,'Busking Places'!$N$9:$R$28,IF($AD38="w",3,IF($AD38="c",4,IF($AD38="s",5,0)))),IF(AND(ROW(AI38)-COLUMN(AI38)=ODD(ROW(AI38)-COLUMN(AI38)),COLUMN(AI38)&gt;32,COLUMN(AI38)&lt;35),"L",VLOOKUP(AH38,'Busking Places'!$N$9:$R$28,IF($AD38="w",3,IF($AD38="c",4,IF($AD38="s",5,0))))))</f>
        <v>4</v>
      </c>
      <c r="AJ38" s="105">
        <f>IF(AI38="L",VLOOKUP(AH38,'Busking Places'!$N$9:$R$28,IF($AD38="w",3,IF($AD38="c",4,IF($AD38="s",5,0)))),IF(AND(ROW(AJ38)-COLUMN(AJ38)=ODD(ROW(AJ38)-COLUMN(AJ38)),COLUMN(AJ38)&gt;32,COLUMN(AJ38)&lt;35),"L",VLOOKUP(AI38,'Busking Places'!$N$9:$R$28,IF($AD38="w",3,IF($AD38="c",4,IF($AD38="s",5,0))))))</f>
        <v>2</v>
      </c>
      <c r="AL38" s="96" t="str">
        <f>IF(AE38="L","LUNCH",VLOOKUP(AE38,'Busking Places'!$A$3:$B$31,2,0))</f>
        <v>The Tram Depot</v>
      </c>
      <c r="AM38" s="96" t="str">
        <f>IF(AF38="L","LUNCH",VLOOKUP(AF38,'Busking Places'!$A$3:$B$31,2,0))</f>
        <v>Fitzroy St</v>
      </c>
      <c r="AN38" s="96" t="str">
        <f>IF(AG38="L","LUNCH",VLOOKUP(AG38,'Busking Places'!$A$3:$B$31,2,0))</f>
        <v>LUNCH</v>
      </c>
      <c r="AO38" s="96" t="str">
        <f>IF(AH38="L","LUNCH",VLOOKUP(AH38,'Busking Places'!$A$3:$B$31,2,0))</f>
        <v>Pike's Walk</v>
      </c>
      <c r="AP38" s="96" t="str">
        <f>IF(AI38="L","LUNCH",VLOOKUP(AI38,'Busking Places'!$A$3:$B$31,2,0))</f>
        <v>Fort St George</v>
      </c>
      <c r="AQ38" s="96" t="str">
        <f>IF(AJ38="L","LUNCH",VLOOKUP(AJ38,'Busking Places'!$A$3:$B$31,2,0))</f>
        <v>The Maypole</v>
      </c>
    </row>
    <row r="39" spans="1:43" ht="12.75">
      <c r="A39" t="s">
        <v>880</v>
      </c>
      <c r="C39" s="9" t="s">
        <v>1059</v>
      </c>
      <c r="D39" s="9" t="s">
        <v>1074</v>
      </c>
      <c r="E39" s="11" t="s">
        <v>1243</v>
      </c>
      <c r="F39" s="204" t="s">
        <v>1244</v>
      </c>
      <c r="G39" s="9" t="s">
        <v>1245</v>
      </c>
      <c r="H39" s="11"/>
      <c r="J39" s="96"/>
      <c r="L39" s="11" t="s">
        <v>1246</v>
      </c>
      <c r="O39" s="190"/>
      <c r="P39" s="9">
        <f>IF(ISERROR(FIND(P$2,$C39)),0,$B39)</f>
        <v>0</v>
      </c>
      <c r="Q39" s="9">
        <f>IF(ISERROR(FIND(Q$2,$C39)),0,$B39)</f>
        <v>0</v>
      </c>
      <c r="R39" s="9">
        <f>IF(ISERROR(FIND(R$2,$C39)),0,$B39)</f>
        <v>0</v>
      </c>
      <c r="S39" s="63">
        <f>IF(ISERROR(FIND(S$2,$C39)),0,1)</f>
        <v>0</v>
      </c>
      <c r="T39" s="63">
        <f>IF(ISERROR(FIND(T$2,$C39)),0,1)</f>
        <v>0</v>
      </c>
      <c r="U39" s="63">
        <f>IF(ISERROR(FIND(U$2,$C39)),0,1)</f>
        <v>1</v>
      </c>
      <c r="V39" s="9">
        <f>IF(ISERROR(FIND(LEFT(V$2,1),$D39)),0,1)</f>
        <v>0</v>
      </c>
      <c r="W39" s="9">
        <f>IF(ISERROR(FIND(LEFT(W$2,1),$D39)),0,1)</f>
        <v>1</v>
      </c>
      <c r="X39" s="9">
        <f>IF(ISERROR(FIND(LEFT(X$2,1),$D39)),0,1)</f>
        <v>0</v>
      </c>
      <c r="Y39" s="9">
        <f>IF(ISERROR(FIND(LEFT(Y$2,1),$D39)),0,1)</f>
        <v>0</v>
      </c>
      <c r="Z39" s="9">
        <f>IF(ISERROR(FIND(LEFT(Z$2,1),$D39)),0,1)</f>
        <v>0</v>
      </c>
      <c r="AA39" s="9">
        <f>IF(ISERROR(FIND(LEFT(AA$2,1),$D39)),0,1)</f>
        <v>0</v>
      </c>
      <c r="AB39" s="9">
        <f>IF(ISERROR(FIND(LEFT(AB$2,1),$D39)),0,1)</f>
        <v>0</v>
      </c>
      <c r="AD39" s="16" t="s">
        <v>1110</v>
      </c>
      <c r="AE39" s="109">
        <v>10</v>
      </c>
      <c r="AF39" s="105">
        <f>IF(AE39="L",VLOOKUP(AD39,'Busking Places'!$N$9:$R$28,IF($AD39="w",3,IF($AD39="c",4,IF($AD39="s",5,0)))),IF(AND(ROW(AF39)-COLUMN(AF39)=ODD(ROW(AF39)-COLUMN(AF39)),COLUMN(AF39)&gt;32,COLUMN(AF39)&lt;35),"L",VLOOKUP(AE39,'Busking Places'!$N$9:$R$28,IF($AD39="w",3,IF($AD39="c",4,IF($AD39="s",5,0))))))</f>
        <v>12</v>
      </c>
      <c r="AG39" s="105">
        <f>IF(AF39="L",VLOOKUP(AE39,'Busking Places'!$N$9:$R$28,IF($AD39="w",3,IF($AD39="c",4,IF($AD39="s",5,0)))),IF(AND(ROW(AG39)-COLUMN(AG39)=ODD(ROW(AG39)-COLUMN(AG39)),COLUMN(AG39)&gt;32,COLUMN(AG39)&lt;35),"L",VLOOKUP(AF39,'Busking Places'!$N$9:$R$28,IF($AD39="w",3,IF($AD39="c",4,IF($AD39="s",5,0))))))</f>
        <v>14</v>
      </c>
      <c r="AH39" s="105" t="str">
        <f>IF(AG39="L",VLOOKUP(AF39,'Busking Places'!$N$9:$R$28,IF($AD39="w",3,IF($AD39="c",4,IF($AD39="s",5,0)))),IF(AND(ROW(AH39)-COLUMN(AH39)=ODD(ROW(AH39)-COLUMN(AH39)),COLUMN(AH39)&gt;32,COLUMN(AH39)&lt;35),"L",VLOOKUP(AG39,'Busking Places'!$N$9:$R$28,IF($AD39="w",3,IF($AD39="c",4,IF($AD39="s",5,0))))))</f>
        <v>L</v>
      </c>
      <c r="AI39" s="105">
        <f>IF(AH39="L",VLOOKUP(AG39,'Busking Places'!$N$9:$R$28,IF($AD39="w",3,IF($AD39="c",4,IF($AD39="s",5,0)))),IF(AND(ROW(AI39)-COLUMN(AI39)=ODD(ROW(AI39)-COLUMN(AI39)),COLUMN(AI39)&gt;32,COLUMN(AI39)&lt;35),"L",VLOOKUP(AH39,'Busking Places'!$N$9:$R$28,IF($AD39="w",3,IF($AD39="c",4,IF($AD39="s",5,0))))))</f>
        <v>16</v>
      </c>
      <c r="AJ39" s="105">
        <f>IF(AI39="L",VLOOKUP(AH39,'Busking Places'!$N$9:$R$28,IF($AD39="w",3,IF($AD39="c",4,IF($AD39="s",5,0)))),IF(AND(ROW(AJ39)-COLUMN(AJ39)=ODD(ROW(AJ39)-COLUMN(AJ39)),COLUMN(AJ39)&gt;32,COLUMN(AJ39)&lt;35),"L",VLOOKUP(AI39,'Busking Places'!$N$9:$R$28,IF($AD39="w",3,IF($AD39="c",4,IF($AD39="s",5,0))))))</f>
        <v>18</v>
      </c>
      <c r="AL39" s="96" t="str">
        <f>IF(AE39="L","LUNCH",VLOOKUP(AE39,'Busking Places'!$A$3:$B$31,2,0))</f>
        <v>The Tram Depot</v>
      </c>
      <c r="AM39" s="96" t="str">
        <f>IF(AF39="L","LUNCH",VLOOKUP(AF39,'Busking Places'!$A$3:$B$31,2,0))</f>
        <v>The Cambridge Blue</v>
      </c>
      <c r="AN39" s="96" t="str">
        <f>IF(AG39="L","LUNCH",VLOOKUP(AG39,'Busking Places'!$A$3:$B$31,2,0))</f>
        <v>Mawson Road</v>
      </c>
      <c r="AO39" s="96" t="str">
        <f>IF(AH39="L","LUNCH",VLOOKUP(AH39,'Busking Places'!$A$3:$B$31,2,0))</f>
        <v>LUNCH</v>
      </c>
      <c r="AP39" s="96" t="str">
        <f>IF(AI39="L","LUNCH",VLOOKUP(AI39,'Busking Places'!$A$3:$B$31,2,0))</f>
        <v>Regent Terrace, N</v>
      </c>
      <c r="AQ39" s="96" t="str">
        <f>IF(AJ39="L","LUNCH",VLOOKUP(AJ39,'Busking Places'!$A$3:$B$31,2,0))</f>
        <v>Guildhall, Mkt. Hill</v>
      </c>
    </row>
    <row r="40" spans="1:43" ht="12.75">
      <c r="A40" s="11" t="s">
        <v>881</v>
      </c>
      <c r="B40" s="9">
        <v>10</v>
      </c>
      <c r="C40" s="9" t="s">
        <v>1058</v>
      </c>
      <c r="D40" s="9" t="s">
        <v>1074</v>
      </c>
      <c r="E40" s="11" t="s">
        <v>1247</v>
      </c>
      <c r="F40" s="189" t="s">
        <v>1248</v>
      </c>
      <c r="G40" s="11" t="s">
        <v>1249</v>
      </c>
      <c r="J40" s="96"/>
      <c r="N40" s="190">
        <v>41613</v>
      </c>
      <c r="P40" s="9">
        <f>IF(ISERROR(FIND(P$2,$C40)),0,$B40)</f>
        <v>0</v>
      </c>
      <c r="Q40" s="9">
        <f>IF(ISERROR(FIND(Q$2,$C40)),0,$B40)</f>
        <v>10</v>
      </c>
      <c r="R40" s="9">
        <f>IF(ISERROR(FIND(R$2,$C40)),0,$B40)</f>
        <v>0</v>
      </c>
      <c r="S40" s="63">
        <f>IF(ISERROR(FIND(S$2,$C40)),0,1)</f>
        <v>0</v>
      </c>
      <c r="T40" s="63">
        <f>IF(ISERROR(FIND(T$2,$C40)),0,1)</f>
        <v>1</v>
      </c>
      <c r="U40" s="63">
        <f>IF(ISERROR(FIND(U$2,$C40)),0,1)</f>
        <v>0</v>
      </c>
      <c r="V40" s="9">
        <f>IF(ISERROR(FIND(LEFT(V$2,1),$D40)),0,1)</f>
        <v>0</v>
      </c>
      <c r="W40" s="9">
        <f>IF(ISERROR(FIND(LEFT(W$2,1),$D40)),0,1)</f>
        <v>1</v>
      </c>
      <c r="X40" s="9">
        <f>IF(ISERROR(FIND(LEFT(X$2,1),$D40)),0,1)</f>
        <v>0</v>
      </c>
      <c r="Y40" s="9">
        <f>IF(ISERROR(FIND(LEFT(Y$2,1),$D40)),0,1)</f>
        <v>0</v>
      </c>
      <c r="Z40" s="9">
        <f>IF(ISERROR(FIND(LEFT(Z$2,1),$D40)),0,1)</f>
        <v>0</v>
      </c>
      <c r="AA40" s="9">
        <f>IF(ISERROR(FIND(LEFT(AA$2,1),$D40)),0,1)</f>
        <v>0</v>
      </c>
      <c r="AB40" s="9">
        <f>IF(ISERROR(FIND(LEFT(AB$2,1),$D40)),0,1)</f>
        <v>0</v>
      </c>
      <c r="AD40" s="16" t="s">
        <v>1080</v>
      </c>
      <c r="AE40" s="109">
        <v>11</v>
      </c>
      <c r="AF40" s="105">
        <f>IF(AE40="L",VLOOKUP(AD40,'Busking Places'!$N$9:$R$28,IF($AD40="w",3,IF($AD40="c",4,IF($AD40="s",5,0)))),IF(AND(ROW(AF40)-COLUMN(AF40)=ODD(ROW(AF40)-COLUMN(AF40)),COLUMN(AF40)&gt;32,COLUMN(AF40)&lt;35),"L",VLOOKUP(AE40,'Busking Places'!$N$9:$R$28,IF($AD40="w",3,IF($AD40="c",4,IF($AD40="s",5,0))))))</f>
        <v>9</v>
      </c>
      <c r="AG40" s="105" t="str">
        <f>IF(AF40="L",VLOOKUP(AE40,'Busking Places'!$N$9:$R$28,IF($AD40="w",3,IF($AD40="c",4,IF($AD40="s",5,0)))),IF(AND(ROW(AG40)-COLUMN(AG40)=ODD(ROW(AG40)-COLUMN(AG40)),COLUMN(AG40)&gt;32,COLUMN(AG40)&lt;35),"L",VLOOKUP(AF40,'Busking Places'!$N$9:$R$28,IF($AD40="w",3,IF($AD40="c",4,IF($AD40="s",5,0))))))</f>
        <v>L</v>
      </c>
      <c r="AH40" s="105">
        <f>IF(AG40="L",VLOOKUP(AF40,'Busking Places'!$N$9:$R$28,IF($AD40="w",3,IF($AD40="c",4,IF($AD40="s",5,0)))),IF(AND(ROW(AH40)-COLUMN(AH40)=ODD(ROW(AH40)-COLUMN(AH40)),COLUMN(AH40)&gt;32,COLUMN(AH40)&lt;35),"L",VLOOKUP(AG40,'Busking Places'!$N$9:$R$28,IF($AD40="w",3,IF($AD40="c",4,IF($AD40="s",5,0))))))</f>
        <v>7</v>
      </c>
      <c r="AI40" s="105">
        <f>IF(AH40="L",VLOOKUP(AG40,'Busking Places'!$N$9:$R$28,IF($AD40="w",3,IF($AD40="c",4,IF($AD40="s",5,0)))),IF(AND(ROW(AI40)-COLUMN(AI40)=ODD(ROW(AI40)-COLUMN(AI40)),COLUMN(AI40)&gt;32,COLUMN(AI40)&lt;35),"L",VLOOKUP(AH40,'Busking Places'!$N$9:$R$28,IF($AD40="w",3,IF($AD40="c",4,IF($AD40="s",5,0))))))</f>
        <v>5</v>
      </c>
      <c r="AJ40" s="105">
        <f>IF(AI40="L",VLOOKUP(AH40,'Busking Places'!$N$9:$R$28,IF($AD40="w",3,IF($AD40="c",4,IF($AD40="s",5,0)))),IF(AND(ROW(AJ40)-COLUMN(AJ40)=ODD(ROW(AJ40)-COLUMN(AJ40)),COLUMN(AJ40)&gt;32,COLUMN(AJ40)&lt;35),"L",VLOOKUP(AI40,'Busking Places'!$N$9:$R$28,IF($AD40="w",3,IF($AD40="c",4,IF($AD40="s",5,0))))))</f>
        <v>3</v>
      </c>
      <c r="AL40" s="96" t="str">
        <f>IF(AE40="L","LUNCH",VLOOKUP(AE40,'Busking Places'!$A$3:$B$31,2,0))</f>
        <v>Alexandra Arms</v>
      </c>
      <c r="AM40" s="96" t="str">
        <f>IF(AF40="L","LUNCH",VLOOKUP(AF40,'Busking Places'!$A$3:$B$31,2,0))</f>
        <v>Eden Street</v>
      </c>
      <c r="AN40" s="96" t="str">
        <f>IF(AG40="L","LUNCH",VLOOKUP(AG40,'Busking Places'!$A$3:$B$31,2,0))</f>
        <v>LUNCH</v>
      </c>
      <c r="AO40" s="96" t="str">
        <f>IF(AH40="L","LUNCH",VLOOKUP(AH40,'Busking Places'!$A$3:$B$31,2,0))</f>
        <v>Christ's Pieces</v>
      </c>
      <c r="AP40" s="96" t="str">
        <f>IF(AI40="L","LUNCH",VLOOKUP(AI40,'Busking Places'!$A$3:$B$31,2,0))</f>
        <v>Butt Green</v>
      </c>
      <c r="AQ40" s="96" t="str">
        <f>IF(AJ40="L","LUNCH",VLOOKUP(AJ40,'Busking Places'!$A$3:$B$31,2,0))</f>
        <v>Jesus Green</v>
      </c>
    </row>
    <row r="41" spans="1:43" ht="12.75">
      <c r="A41" s="11" t="s">
        <v>882</v>
      </c>
      <c r="B41" s="9">
        <v>10</v>
      </c>
      <c r="C41" s="9" t="s">
        <v>1058</v>
      </c>
      <c r="D41" s="9" t="s">
        <v>1074</v>
      </c>
      <c r="E41" s="11" t="s">
        <v>1250</v>
      </c>
      <c r="F41" s="189" t="s">
        <v>1251</v>
      </c>
      <c r="H41" s="9" t="s">
        <v>1252</v>
      </c>
      <c r="J41" s="96"/>
      <c r="K41" s="9" t="s">
        <v>907</v>
      </c>
      <c r="L41" s="11" t="s">
        <v>1253</v>
      </c>
      <c r="M41" s="11" t="s">
        <v>1228</v>
      </c>
      <c r="P41" s="9">
        <f>IF(ISERROR(FIND(P$2,$C41)),0,$B41)</f>
        <v>0</v>
      </c>
      <c r="Q41" s="9">
        <f>IF(ISERROR(FIND(Q$2,$C41)),0,$B41)</f>
        <v>10</v>
      </c>
      <c r="R41" s="9">
        <f>IF(ISERROR(FIND(R$2,$C41)),0,$B41)</f>
        <v>0</v>
      </c>
      <c r="S41" s="63">
        <f>IF(ISERROR(FIND(S$2,$C41)),0,1)</f>
        <v>0</v>
      </c>
      <c r="T41" s="63">
        <f>IF(ISERROR(FIND(T$2,$C41)),0,1)</f>
        <v>1</v>
      </c>
      <c r="U41" s="63">
        <f>IF(ISERROR(FIND(U$2,$C41)),0,1)</f>
        <v>0</v>
      </c>
      <c r="V41" s="9">
        <f>IF(ISERROR(FIND(LEFT(V$2,1),$D41)),0,1)</f>
        <v>0</v>
      </c>
      <c r="W41" s="9">
        <f>IF(ISERROR(FIND(LEFT(W$2,1),$D41)),0,1)</f>
        <v>1</v>
      </c>
      <c r="X41" s="9">
        <f>IF(ISERROR(FIND(LEFT(X$2,1),$D41)),0,1)</f>
        <v>0</v>
      </c>
      <c r="Y41" s="9">
        <f>IF(ISERROR(FIND(LEFT(Y$2,1),$D41)),0,1)</f>
        <v>0</v>
      </c>
      <c r="Z41" s="9">
        <f>IF(ISERROR(FIND(LEFT(Z$2,1),$D41)),0,1)</f>
        <v>0</v>
      </c>
      <c r="AA41" s="9">
        <f>IF(ISERROR(FIND(LEFT(AA$2,1),$D41)),0,1)</f>
        <v>0</v>
      </c>
      <c r="AB41" s="9">
        <f>IF(ISERROR(FIND(LEFT(AB$2,1),$D41)),0,1)</f>
        <v>0</v>
      </c>
      <c r="AD41" s="72" t="s">
        <v>1110</v>
      </c>
      <c r="AE41" s="206">
        <v>20</v>
      </c>
      <c r="AF41" s="207">
        <f>IF(AE41="L",VLOOKUP(AD41,'Busking Places'!$N$9:$R$28,IF($AD41="w",3,IF($AD41="c",4,IF($AD41="s",5,0)))),IF(AND(ROW(AF41)-COLUMN(AF41)=ODD(ROW(AF41)-COLUMN(AF41)),COLUMN(AF41)&gt;32,COLUMN(AF41)&lt;35),"L",VLOOKUP(AE41,'Busking Places'!$N$9:$R$28,IF($AD41="w",3,IF($AD41="c",4,IF($AD41="s",5,0))))))</f>
        <v>2</v>
      </c>
      <c r="AG41" s="207">
        <f>IF(AF41="L",VLOOKUP(AE41,'Busking Places'!$N$9:$R$28,IF($AD41="w",3,IF($AD41="c",4,IF($AD41="s",5,0)))),IF(AND(ROW(AG41)-COLUMN(AG41)=ODD(ROW(AG41)-COLUMN(AG41)),COLUMN(AG41)&gt;32,COLUMN(AG41)&lt;35),"L",VLOOKUP(AF41,'Busking Places'!$N$9:$R$28,IF($AD41="w",3,IF($AD41="c",4,IF($AD41="s",5,0))))))</f>
        <v>4</v>
      </c>
      <c r="AH41" s="207" t="str">
        <f>IF(AG41="L",VLOOKUP(AF41,'Busking Places'!$N$9:$R$28,IF($AD41="w",3,IF($AD41="c",4,IF($AD41="s",5,0)))),IF(AND(ROW(AH41)-COLUMN(AH41)=ODD(ROW(AH41)-COLUMN(AH41)),COLUMN(AH41)&gt;32,COLUMN(AH41)&lt;35),"L",VLOOKUP(AG41,'Busking Places'!$N$9:$R$28,IF($AD41="w",3,IF($AD41="c",4,IF($AD41="s",5,0))))))</f>
        <v>L</v>
      </c>
      <c r="AI41" s="207">
        <f>IF(AH41="L",VLOOKUP(AG41,'Busking Places'!$N$9:$R$28,IF($AD41="w",3,IF($AD41="c",4,IF($AD41="s",5,0)))),IF(AND(ROW(AI41)-COLUMN(AI41)=ODD(ROW(AI41)-COLUMN(AI41)),COLUMN(AI41)&gt;32,COLUMN(AI41)&lt;35),"L",VLOOKUP(AH41,'Busking Places'!$N$9:$R$28,IF($AD41="w",3,IF($AD41="c",4,IF($AD41="s",5,0))))))</f>
        <v>6</v>
      </c>
      <c r="AJ41" s="207">
        <f>IF(AI41="L",VLOOKUP(AH41,'Busking Places'!$N$9:$R$28,IF($AD41="w",3,IF($AD41="c",4,IF($AD41="s",5,0)))),IF(AND(ROW(AJ41)-COLUMN(AJ41)=ODD(ROW(AJ41)-COLUMN(AJ41)),COLUMN(AJ41)&gt;32,COLUMN(AJ41)&lt;35),"L",VLOOKUP(AI41,'Busking Places'!$N$9:$R$28,IF($AD41="w",3,IF($AD41="c",4,IF($AD41="s",5,0))))))</f>
        <v>8</v>
      </c>
      <c r="AL41" s="96" t="str">
        <f>IF(AE41="L","LUNCH",VLOOKUP(AE41,'Busking Places'!$A$3:$B$31,2,0))</f>
        <v>Sidney Street</v>
      </c>
      <c r="AM41" s="96" t="str">
        <f>IF(AF41="L","LUNCH",VLOOKUP(AF41,'Busking Places'!$A$3:$B$31,2,0))</f>
        <v>The Maypole</v>
      </c>
      <c r="AN41" s="96" t="str">
        <f>IF(AG41="L","LUNCH",VLOOKUP(AG41,'Busking Places'!$A$3:$B$31,2,0))</f>
        <v>Fort St George</v>
      </c>
      <c r="AO41" s="96" t="str">
        <f>IF(AH41="L","LUNCH",VLOOKUP(AH41,'Busking Places'!$A$3:$B$31,2,0))</f>
        <v>LUNCH</v>
      </c>
      <c r="AP41" s="96" t="str">
        <f>IF(AI41="L","LUNCH",VLOOKUP(AI41,'Busking Places'!$A$3:$B$31,2,0))</f>
        <v>Pike's Walk</v>
      </c>
      <c r="AQ41" s="96" t="str">
        <f>IF(AJ41="L","LUNCH",VLOOKUP(AJ41,'Busking Places'!$A$3:$B$31,2,0))</f>
        <v>Fitzroy St</v>
      </c>
    </row>
    <row r="42" spans="1:43" ht="12.75">
      <c r="A42" s="11" t="s">
        <v>883</v>
      </c>
      <c r="B42" s="9">
        <v>7</v>
      </c>
      <c r="C42" s="9" t="s">
        <v>1058</v>
      </c>
      <c r="D42" s="9" t="s">
        <v>1074</v>
      </c>
      <c r="E42" s="11" t="s">
        <v>1254</v>
      </c>
      <c r="F42" s="191" t="s">
        <v>1255</v>
      </c>
      <c r="H42" s="9" t="s">
        <v>1256</v>
      </c>
      <c r="J42" s="96"/>
      <c r="K42" s="9" t="s">
        <v>1085</v>
      </c>
      <c r="L42" s="11" t="s">
        <v>1257</v>
      </c>
      <c r="N42" s="190">
        <v>41620</v>
      </c>
      <c r="P42" s="9">
        <f>IF(ISERROR(FIND(P$2,$C42)),0,$B42)</f>
        <v>0</v>
      </c>
      <c r="Q42" s="9">
        <f>IF(ISERROR(FIND(Q$2,$C42)),0,$B42)</f>
        <v>7</v>
      </c>
      <c r="R42" s="9">
        <f>IF(ISERROR(FIND(R$2,$C42)),0,$B42)</f>
        <v>0</v>
      </c>
      <c r="S42" s="63">
        <f>IF(ISERROR(FIND(S$2,$C42)),0,1)</f>
        <v>0</v>
      </c>
      <c r="T42" s="63">
        <f>IF(ISERROR(FIND(T$2,$C42)),0,1)</f>
        <v>1</v>
      </c>
      <c r="U42" s="63">
        <f>IF(ISERROR(FIND(U$2,$C42)),0,1)</f>
        <v>0</v>
      </c>
      <c r="V42" s="9">
        <f>IF(ISERROR(FIND(LEFT(V$2,1),$D42)),0,1)</f>
        <v>0</v>
      </c>
      <c r="W42" s="9">
        <f>IF(ISERROR(FIND(LEFT(W$2,1),$D42)),0,1)</f>
        <v>1</v>
      </c>
      <c r="X42" s="9">
        <f>IF(ISERROR(FIND(LEFT(X$2,1),$D42)),0,1)</f>
        <v>0</v>
      </c>
      <c r="Y42" s="9">
        <f>IF(ISERROR(FIND(LEFT(Y$2,1),$D42)),0,1)</f>
        <v>0</v>
      </c>
      <c r="Z42" s="9">
        <f>IF(ISERROR(FIND(LEFT(Z$2,1),$D42)),0,1)</f>
        <v>0</v>
      </c>
      <c r="AA42" s="9">
        <f>IF(ISERROR(FIND(LEFT(AA$2,1),$D42)),0,1)</f>
        <v>0</v>
      </c>
      <c r="AB42" s="9">
        <f>IF(ISERROR(FIND(LEFT(AB$2,1),$D42)),0,1)</f>
        <v>0</v>
      </c>
      <c r="AD42" s="16" t="s">
        <v>1080</v>
      </c>
      <c r="AE42" s="109">
        <v>12</v>
      </c>
      <c r="AF42" s="105">
        <f>IF(AE42="L",VLOOKUP(AD42,'Busking Places'!$N$9:$R$28,IF($AD42="w",3,IF($AD42="c",4,IF($AD42="s",5,0)))),IF(AND(ROW(AF42)-COLUMN(AF42)=ODD(ROW(AF42)-COLUMN(AF42)),COLUMN(AF42)&gt;32,COLUMN(AF42)&lt;35),"L",VLOOKUP(AE42,'Busking Places'!$N$9:$R$28,IF($AD42="w",3,IF($AD42="c",4,IF($AD42="s",5,0))))))</f>
        <v>10</v>
      </c>
      <c r="AG42" s="105" t="str">
        <f>IF(AF42="L",VLOOKUP(AE42,'Busking Places'!$N$9:$R$28,IF($AD42="w",3,IF($AD42="c",4,IF($AD42="s",5,0)))),IF(AND(ROW(AG42)-COLUMN(AG42)=ODD(ROW(AG42)-COLUMN(AG42)),COLUMN(AG42)&gt;32,COLUMN(AG42)&lt;35),"L",VLOOKUP(AF42,'Busking Places'!$N$9:$R$28,IF($AD42="w",3,IF($AD42="c",4,IF($AD42="s",5,0))))))</f>
        <v>L</v>
      </c>
      <c r="AH42" s="105">
        <f>IF(AG42="L",VLOOKUP(AF42,'Busking Places'!$N$9:$R$28,IF($AD42="w",3,IF($AD42="c",4,IF($AD42="s",5,0)))),IF(AND(ROW(AH42)-COLUMN(AH42)=ODD(ROW(AH42)-COLUMN(AH42)),COLUMN(AH42)&gt;32,COLUMN(AH42)&lt;35),"L",VLOOKUP(AG42,'Busking Places'!$N$9:$R$28,IF($AD42="w",3,IF($AD42="c",4,IF($AD42="s",5,0))))))</f>
        <v>8</v>
      </c>
      <c r="AI42" s="105">
        <f>IF(AH42="L",VLOOKUP(AG42,'Busking Places'!$N$9:$R$28,IF($AD42="w",3,IF($AD42="c",4,IF($AD42="s",5,0)))),IF(AND(ROW(AI42)-COLUMN(AI42)=ODD(ROW(AI42)-COLUMN(AI42)),COLUMN(AI42)&gt;32,COLUMN(AI42)&lt;35),"L",VLOOKUP(AH42,'Busking Places'!$N$9:$R$28,IF($AD42="w",3,IF($AD42="c",4,IF($AD42="s",5,0))))))</f>
        <v>6</v>
      </c>
      <c r="AJ42" s="105">
        <f>IF(AI42="L",VLOOKUP(AH42,'Busking Places'!$N$9:$R$28,IF($AD42="w",3,IF($AD42="c",4,IF($AD42="s",5,0)))),IF(AND(ROW(AJ42)-COLUMN(AJ42)=ODD(ROW(AJ42)-COLUMN(AJ42)),COLUMN(AJ42)&gt;32,COLUMN(AJ42)&lt;35),"L",VLOOKUP(AI42,'Busking Places'!$N$9:$R$28,IF($AD42="w",3,IF($AD42="c",4,IF($AD42="s",5,0))))))</f>
        <v>4</v>
      </c>
      <c r="AL42" s="96" t="str">
        <f>IF(AE42="L","LUNCH",VLOOKUP(AE42,'Busking Places'!$A$3:$B$31,2,0))</f>
        <v>The Cambridge Blue</v>
      </c>
      <c r="AM42" s="96" t="str">
        <f>IF(AF42="L","LUNCH",VLOOKUP(AF42,'Busking Places'!$A$3:$B$31,2,0))</f>
        <v>The Tram Depot</v>
      </c>
      <c r="AN42" s="96" t="str">
        <f>IF(AG42="L","LUNCH",VLOOKUP(AG42,'Busking Places'!$A$3:$B$31,2,0))</f>
        <v>LUNCH</v>
      </c>
      <c r="AO42" s="96" t="str">
        <f>IF(AH42="L","LUNCH",VLOOKUP(AH42,'Busking Places'!$A$3:$B$31,2,0))</f>
        <v>Fitzroy St</v>
      </c>
      <c r="AP42" s="96" t="str">
        <f>IF(AI42="L","LUNCH",VLOOKUP(AI42,'Busking Places'!$A$3:$B$31,2,0))</f>
        <v>Pike's Walk</v>
      </c>
      <c r="AQ42" s="96" t="str">
        <f>IF(AJ42="L","LUNCH",VLOOKUP(AJ42,'Busking Places'!$A$3:$B$31,2,0))</f>
        <v>Fort St George</v>
      </c>
    </row>
    <row r="43" spans="1:43" ht="21">
      <c r="A43" s="58" t="s">
        <v>888</v>
      </c>
      <c r="B43" s="9">
        <v>10</v>
      </c>
      <c r="C43" s="9" t="s">
        <v>1057</v>
      </c>
      <c r="D43" s="9" t="s">
        <v>1074</v>
      </c>
      <c r="E43" s="11" t="s">
        <v>1258</v>
      </c>
      <c r="F43" s="191" t="s">
        <v>1259</v>
      </c>
      <c r="H43" s="9" t="s">
        <v>1260</v>
      </c>
      <c r="J43" s="96"/>
      <c r="K43" s="9" t="s">
        <v>1091</v>
      </c>
      <c r="O43" s="190">
        <v>41701</v>
      </c>
      <c r="P43" s="9">
        <f>IF(ISERROR(FIND(P$2,$C43)),0,$B43)</f>
        <v>10</v>
      </c>
      <c r="Q43" s="9">
        <f>IF(ISERROR(FIND(Q$2,$C43)),0,$B43)</f>
        <v>0</v>
      </c>
      <c r="R43" s="9">
        <f>IF(ISERROR(FIND(R$2,$C43)),0,$B43)</f>
        <v>0</v>
      </c>
      <c r="S43" s="63">
        <f>IF(ISERROR(FIND(S$2,$C43)),0,1)</f>
        <v>1</v>
      </c>
      <c r="T43" s="63">
        <f>IF(ISERROR(FIND(T$2,$C43)),0,1)</f>
        <v>0</v>
      </c>
      <c r="U43" s="63">
        <f>IF(ISERROR(FIND(U$2,$C43)),0,1)</f>
        <v>0</v>
      </c>
      <c r="V43" s="9">
        <f>IF(ISERROR(FIND(LEFT(V$2,1),$D43)),0,1)</f>
        <v>0</v>
      </c>
      <c r="W43" s="9">
        <f>IF(ISERROR(FIND(LEFT(W$2,1),$D43)),0,1)</f>
        <v>1</v>
      </c>
      <c r="X43" s="9">
        <f>IF(ISERROR(FIND(LEFT(X$2,1),$D43)),0,1)</f>
        <v>0</v>
      </c>
      <c r="Y43" s="9">
        <f>IF(ISERROR(FIND(LEFT(Y$2,1),$D43)),0,1)</f>
        <v>0</v>
      </c>
      <c r="Z43" s="9">
        <f>IF(ISERROR(FIND(LEFT(Z$2,1),$D43)),0,1)</f>
        <v>0</v>
      </c>
      <c r="AA43" s="9">
        <f>IF(ISERROR(FIND(LEFT(AA$2,1),$D43)),0,1)</f>
        <v>0</v>
      </c>
      <c r="AB43" s="9">
        <f>IF(ISERROR(FIND(LEFT(AB$2,1),$D43)),0,1)</f>
        <v>0</v>
      </c>
      <c r="AD43" s="16" t="s">
        <v>1080</v>
      </c>
      <c r="AE43" s="109">
        <v>13</v>
      </c>
      <c r="AF43" s="105">
        <f>IF(AE43="L",VLOOKUP(AD43,'Busking Places'!$N$9:$R$28,IF($AD43="w",3,IF($AD43="c",4,IF($AD43="s",5,0)))),IF(AND(ROW(AF43)-COLUMN(AF43)=ODD(ROW(AF43)-COLUMN(AF43)),COLUMN(AF43)&gt;32,COLUMN(AF43)&lt;35),"L",VLOOKUP(AE43,'Busking Places'!$N$9:$R$28,IF($AD43="w",3,IF($AD43="c",4,IF($AD43="s",5,0))))))</f>
        <v>11</v>
      </c>
      <c r="AG43" s="105">
        <f>IF(AF43="L",VLOOKUP(AE43,'Busking Places'!$N$9:$R$28,IF($AD43="w",3,IF($AD43="c",4,IF($AD43="s",5,0)))),IF(AND(ROW(AG43)-COLUMN(AG43)=ODD(ROW(AG43)-COLUMN(AG43)),COLUMN(AG43)&gt;32,COLUMN(AG43)&lt;35),"L",VLOOKUP(AF43,'Busking Places'!$N$9:$R$28,IF($AD43="w",3,IF($AD43="c",4,IF($AD43="s",5,0))))))</f>
        <v>9</v>
      </c>
      <c r="AH43" s="105" t="str">
        <f>IF(AG43="L",VLOOKUP(AF43,'Busking Places'!$N$9:$R$28,IF($AD43="w",3,IF($AD43="c",4,IF($AD43="s",5,0)))),IF(AND(ROW(AH43)-COLUMN(AH43)=ODD(ROW(AH43)-COLUMN(AH43)),COLUMN(AH43)&gt;32,COLUMN(AH43)&lt;35),"L",VLOOKUP(AG43,'Busking Places'!$N$9:$R$28,IF($AD43="w",3,IF($AD43="c",4,IF($AD43="s",5,0))))))</f>
        <v>L</v>
      </c>
      <c r="AI43" s="105">
        <f>IF(AH43="L",VLOOKUP(AG43,'Busking Places'!$N$9:$R$28,IF($AD43="w",3,IF($AD43="c",4,IF($AD43="s",5,0)))),IF(AND(ROW(AI43)-COLUMN(AI43)=ODD(ROW(AI43)-COLUMN(AI43)),COLUMN(AI43)&gt;32,COLUMN(AI43)&lt;35),"L",VLOOKUP(AH43,'Busking Places'!$N$9:$R$28,IF($AD43="w",3,IF($AD43="c",4,IF($AD43="s",5,0))))))</f>
        <v>7</v>
      </c>
      <c r="AJ43" s="105">
        <f>IF(AI43="L",VLOOKUP(AH43,'Busking Places'!$N$9:$R$28,IF($AD43="w",3,IF($AD43="c",4,IF($AD43="s",5,0)))),IF(AND(ROW(AJ43)-COLUMN(AJ43)=ODD(ROW(AJ43)-COLUMN(AJ43)),COLUMN(AJ43)&gt;32,COLUMN(AJ43)&lt;35),"L",VLOOKUP(AI43,'Busking Places'!$N$9:$R$28,IF($AD43="w",3,IF($AD43="c",4,IF($AD43="s",5,0))))))</f>
        <v>5</v>
      </c>
      <c r="AL43" s="96" t="str">
        <f>IF(AE43="L","LUNCH",VLOOKUP(AE43,'Busking Places'!$A$3:$B$31,2,0))</f>
        <v>Covent Garden</v>
      </c>
      <c r="AM43" s="96" t="str">
        <f>IF(AF43="L","LUNCH",VLOOKUP(AF43,'Busking Places'!$A$3:$B$31,2,0))</f>
        <v>Alexandra Arms</v>
      </c>
      <c r="AN43" s="96" t="str">
        <f>IF(AG43="L","LUNCH",VLOOKUP(AG43,'Busking Places'!$A$3:$B$31,2,0))</f>
        <v>Eden Street</v>
      </c>
      <c r="AO43" s="96" t="str">
        <f>IF(AH43="L","LUNCH",VLOOKUP(AH43,'Busking Places'!$A$3:$B$31,2,0))</f>
        <v>LUNCH</v>
      </c>
      <c r="AP43" s="96" t="str">
        <f>IF(AI43="L","LUNCH",VLOOKUP(AI43,'Busking Places'!$A$3:$B$31,2,0))</f>
        <v>Christ's Pieces</v>
      </c>
      <c r="AQ43" s="96" t="str">
        <f>IF(AJ43="L","LUNCH",VLOOKUP(AJ43,'Busking Places'!$A$3:$B$31,2,0))</f>
        <v>Butt Green</v>
      </c>
    </row>
    <row r="44" spans="1:43" ht="12.75">
      <c r="A44" s="11" t="s">
        <v>890</v>
      </c>
      <c r="B44" s="9">
        <v>13</v>
      </c>
      <c r="C44" s="9" t="s">
        <v>1058</v>
      </c>
      <c r="D44" s="9" t="s">
        <v>1074</v>
      </c>
      <c r="E44" s="11" t="s">
        <v>1261</v>
      </c>
      <c r="F44" s="189" t="s">
        <v>1262</v>
      </c>
      <c r="G44" s="9" t="s">
        <v>1263</v>
      </c>
      <c r="H44" s="9" t="s">
        <v>1264</v>
      </c>
      <c r="J44" s="96"/>
      <c r="K44" s="9" t="s">
        <v>918</v>
      </c>
      <c r="L44" s="11" t="s">
        <v>1265</v>
      </c>
      <c r="N44" s="190">
        <v>41600</v>
      </c>
      <c r="P44" s="9">
        <f>IF(ISERROR(FIND(P$2,$C44)),0,$B44)</f>
        <v>0</v>
      </c>
      <c r="Q44" s="9">
        <f>IF(ISERROR(FIND(Q$2,$C44)),0,$B44)</f>
        <v>13</v>
      </c>
      <c r="R44" s="9">
        <f>IF(ISERROR(FIND(R$2,$C44)),0,$B44)</f>
        <v>0</v>
      </c>
      <c r="S44" s="63">
        <f>IF(ISERROR(FIND(S$2,$C44)),0,1)</f>
        <v>0</v>
      </c>
      <c r="T44" s="63">
        <f>IF(ISERROR(FIND(T$2,$C44)),0,1)</f>
        <v>1</v>
      </c>
      <c r="U44" s="63">
        <f>IF(ISERROR(FIND(U$2,$C44)),0,1)</f>
        <v>0</v>
      </c>
      <c r="V44" s="9">
        <f>IF(ISERROR(FIND(LEFT(V$2,1),$D44)),0,1)</f>
        <v>0</v>
      </c>
      <c r="W44" s="9">
        <f>IF(ISERROR(FIND(LEFT(W$2,1),$D44)),0,1)</f>
        <v>1</v>
      </c>
      <c r="X44" s="9">
        <f>IF(ISERROR(FIND(LEFT(X$2,1),$D44)),0,1)</f>
        <v>0</v>
      </c>
      <c r="Y44" s="9">
        <f>IF(ISERROR(FIND(LEFT(Y$2,1),$D44)),0,1)</f>
        <v>0</v>
      </c>
      <c r="Z44" s="9">
        <f>IF(ISERROR(FIND(LEFT(Z$2,1),$D44)),0,1)</f>
        <v>0</v>
      </c>
      <c r="AA44" s="9">
        <f>IF(ISERROR(FIND(LEFT(AA$2,1),$D44)),0,1)</f>
        <v>0</v>
      </c>
      <c r="AB44" s="9">
        <f>IF(ISERROR(FIND(LEFT(AB$2,1),$D44)),0,1)</f>
        <v>0</v>
      </c>
      <c r="AD44" s="16" t="s">
        <v>1110</v>
      </c>
      <c r="AE44" s="109">
        <v>13</v>
      </c>
      <c r="AF44" s="105">
        <f>IF(AE44="L",VLOOKUP(AD44,'Busking Places'!$N$9:$R$28,IF($AD44="w",3,IF($AD44="c",4,IF($AD44="s",5,0)))),IF(AND(ROW(AF44)-COLUMN(AF44)=ODD(ROW(AF44)-COLUMN(AF44)),COLUMN(AF44)&gt;32,COLUMN(AF44)&lt;35),"L",VLOOKUP(AE44,'Busking Places'!$N$9:$R$28,IF($AD44="w",3,IF($AD44="c",4,IF($AD44="s",5,0))))))</f>
        <v>15</v>
      </c>
      <c r="AG44" s="105" t="str">
        <f>IF(AF44="L",VLOOKUP(AE44,'Busking Places'!$N$9:$R$28,IF($AD44="w",3,IF($AD44="c",4,IF($AD44="s",5,0)))),IF(AND(ROW(AG44)-COLUMN(AG44)=ODD(ROW(AG44)-COLUMN(AG44)),COLUMN(AG44)&gt;32,COLUMN(AG44)&lt;35),"L",VLOOKUP(AF44,'Busking Places'!$N$9:$R$28,IF($AD44="w",3,IF($AD44="c",4,IF($AD44="s",5,0))))))</f>
        <v>L</v>
      </c>
      <c r="AH44" s="105">
        <f>IF(AG44="L",VLOOKUP(AF44,'Busking Places'!$N$9:$R$28,IF($AD44="w",3,IF($AD44="c",4,IF($AD44="s",5,0)))),IF(AND(ROW(AH44)-COLUMN(AH44)=ODD(ROW(AH44)-COLUMN(AH44)),COLUMN(AH44)&gt;32,COLUMN(AH44)&lt;35),"L",VLOOKUP(AG44,'Busking Places'!$N$9:$R$28,IF($AD44="w",3,IF($AD44="c",4,IF($AD44="s",5,0))))))</f>
        <v>17</v>
      </c>
      <c r="AI44" s="105">
        <f>IF(AH44="L",VLOOKUP(AG44,'Busking Places'!$N$9:$R$28,IF($AD44="w",3,IF($AD44="c",4,IF($AD44="s",5,0)))),IF(AND(ROW(AI44)-COLUMN(AI44)=ODD(ROW(AI44)-COLUMN(AI44)),COLUMN(AI44)&gt;32,COLUMN(AI44)&lt;35),"L",VLOOKUP(AH44,'Busking Places'!$N$9:$R$28,IF($AD44="w",3,IF($AD44="c",4,IF($AD44="s",5,0))))))</f>
        <v>19</v>
      </c>
      <c r="AJ44" s="105">
        <f>IF(AI44="L",VLOOKUP(AH44,'Busking Places'!$N$9:$R$28,IF($AD44="w",3,IF($AD44="c",4,IF($AD44="s",5,0)))),IF(AND(ROW(AJ44)-COLUMN(AJ44)=ODD(ROW(AJ44)-COLUMN(AJ44)),COLUMN(AJ44)&gt;32,COLUMN(AJ44)&lt;35),"L",VLOOKUP(AI44,'Busking Places'!$N$9:$R$28,IF($AD44="w",3,IF($AD44="c",4,IF($AD44="s",5,0))))))</f>
        <v>1</v>
      </c>
      <c r="AL44" s="96" t="str">
        <f>IF(AE44="L","LUNCH",VLOOKUP(AE44,'Busking Places'!$A$3:$B$31,2,0))</f>
        <v>Covent Garden</v>
      </c>
      <c r="AM44" s="96" t="str">
        <f>IF(AF44="L","LUNCH",VLOOKUP(AF44,'Busking Places'!$A$3:$B$31,2,0))</f>
        <v>Regent Terrace, S</v>
      </c>
      <c r="AN44" s="96" t="str">
        <f>IF(AG44="L","LUNCH",VLOOKUP(AG44,'Busking Places'!$A$3:$B$31,2,0))</f>
        <v>LUNCH</v>
      </c>
      <c r="AO44" s="96" t="str">
        <f>IF(AH44="L","LUNCH",VLOOKUP(AH44,'Busking Places'!$A$3:$B$31,2,0))</f>
        <v>Laundress Green</v>
      </c>
      <c r="AP44" s="96" t="str">
        <f>IF(AI44="L","LUNCH",VLOOKUP(AI44,'Busking Places'!$A$3:$B$31,2,0))</f>
        <v>Gt St Mary's</v>
      </c>
      <c r="AQ44" s="96" t="str">
        <f>IF(AJ44="L","LUNCH",VLOOKUP(AJ44,'Busking Places'!$A$3:$B$31,2,0))</f>
        <v>Quayside</v>
      </c>
    </row>
    <row r="45" spans="1:43" ht="12.75">
      <c r="A45" s="11" t="s">
        <v>891</v>
      </c>
      <c r="B45" s="9">
        <v>14</v>
      </c>
      <c r="C45" s="9" t="s">
        <v>1058</v>
      </c>
      <c r="D45" s="9" t="s">
        <v>1074</v>
      </c>
      <c r="E45" s="11" t="s">
        <v>1266</v>
      </c>
      <c r="F45" s="208" t="s">
        <v>1267</v>
      </c>
      <c r="H45" t="s">
        <v>1268</v>
      </c>
      <c r="J45" s="96"/>
      <c r="K45" s="9" t="s">
        <v>907</v>
      </c>
      <c r="L45" t="s">
        <v>1269</v>
      </c>
      <c r="N45" s="190">
        <v>41565</v>
      </c>
      <c r="O45" s="190"/>
      <c r="P45" s="9">
        <f>IF(ISERROR(FIND(P$2,$C45)),0,$B45)</f>
        <v>0</v>
      </c>
      <c r="Q45" s="9">
        <f>IF(ISERROR(FIND(Q$2,$C45)),0,$B45)</f>
        <v>14</v>
      </c>
      <c r="R45" s="9">
        <f>IF(ISERROR(FIND(R$2,$C45)),0,$B45)</f>
        <v>0</v>
      </c>
      <c r="S45" s="63">
        <f>IF(ISERROR(FIND(S$2,$C45)),0,1)</f>
        <v>0</v>
      </c>
      <c r="T45" s="63">
        <f>IF(ISERROR(FIND(T$2,$C45)),0,1)</f>
        <v>1</v>
      </c>
      <c r="U45" s="63">
        <f>IF(ISERROR(FIND(U$2,$C45)),0,1)</f>
        <v>0</v>
      </c>
      <c r="V45" s="9">
        <f>IF(ISERROR(FIND(LEFT(V$2,1),$D45)),0,1)</f>
        <v>0</v>
      </c>
      <c r="W45" s="9">
        <f>IF(ISERROR(FIND(LEFT(W$2,1),$D45)),0,1)</f>
        <v>1</v>
      </c>
      <c r="X45" s="9">
        <f>IF(ISERROR(FIND(LEFT(X$2,1),$D45)),0,1)</f>
        <v>0</v>
      </c>
      <c r="Y45" s="9">
        <f>IF(ISERROR(FIND(LEFT(Y$2,1),$D45)),0,1)</f>
        <v>0</v>
      </c>
      <c r="Z45" s="9">
        <f>IF(ISERROR(FIND(LEFT(Z$2,1),$D45)),0,1)</f>
        <v>0</v>
      </c>
      <c r="AA45" s="9">
        <f>IF(ISERROR(FIND(LEFT(AA$2,1),$D45)),0,1)</f>
        <v>0</v>
      </c>
      <c r="AB45" s="9">
        <f>IF(ISERROR(FIND(LEFT(AB$2,1),$D45)),0,1)</f>
        <v>0</v>
      </c>
      <c r="AD45" s="16" t="s">
        <v>1080</v>
      </c>
      <c r="AE45" s="109">
        <v>14</v>
      </c>
      <c r="AF45" s="105">
        <f>IF(AE45="L",VLOOKUP(AD45,'Busking Places'!$N$9:$R$28,IF($AD45="w",3,IF($AD45="c",4,IF($AD45="s",5,0)))),IF(AND(ROW(AF45)-COLUMN(AF45)=ODD(ROW(AF45)-COLUMN(AF45)),COLUMN(AF45)&gt;32,COLUMN(AF45)&lt;35),"L",VLOOKUP(AE45,'Busking Places'!$N$9:$R$28,IF($AD45="w",3,IF($AD45="c",4,IF($AD45="s",5,0))))))</f>
        <v>12</v>
      </c>
      <c r="AG45" s="105">
        <f>IF(AF45="L",VLOOKUP(AE45,'Busking Places'!$N$9:$R$28,IF($AD45="w",3,IF($AD45="c",4,IF($AD45="s",5,0)))),IF(AND(ROW(AG45)-COLUMN(AG45)=ODD(ROW(AG45)-COLUMN(AG45)),COLUMN(AG45)&gt;32,COLUMN(AG45)&lt;35),"L",VLOOKUP(AF45,'Busking Places'!$N$9:$R$28,IF($AD45="w",3,IF($AD45="c",4,IF($AD45="s",5,0))))))</f>
        <v>10</v>
      </c>
      <c r="AH45" s="105" t="str">
        <f>IF(AG45="L",VLOOKUP(AF45,'Busking Places'!$N$9:$R$28,IF($AD45="w",3,IF($AD45="c",4,IF($AD45="s",5,0)))),IF(AND(ROW(AH45)-COLUMN(AH45)=ODD(ROW(AH45)-COLUMN(AH45)),COLUMN(AH45)&gt;32,COLUMN(AH45)&lt;35),"L",VLOOKUP(AG45,'Busking Places'!$N$9:$R$28,IF($AD45="w",3,IF($AD45="c",4,IF($AD45="s",5,0))))))</f>
        <v>L</v>
      </c>
      <c r="AI45" s="105">
        <f>IF(AH45="L",VLOOKUP(AG45,'Busking Places'!$N$9:$R$28,IF($AD45="w",3,IF($AD45="c",4,IF($AD45="s",5,0)))),IF(AND(ROW(AI45)-COLUMN(AI45)=ODD(ROW(AI45)-COLUMN(AI45)),COLUMN(AI45)&gt;32,COLUMN(AI45)&lt;35),"L",VLOOKUP(AH45,'Busking Places'!$N$9:$R$28,IF($AD45="w",3,IF($AD45="c",4,IF($AD45="s",5,0))))))</f>
        <v>8</v>
      </c>
      <c r="AJ45" s="105">
        <f>IF(AI45="L",VLOOKUP(AH45,'Busking Places'!$N$9:$R$28,IF($AD45="w",3,IF($AD45="c",4,IF($AD45="s",5,0)))),IF(AND(ROW(AJ45)-COLUMN(AJ45)=ODD(ROW(AJ45)-COLUMN(AJ45)),COLUMN(AJ45)&gt;32,COLUMN(AJ45)&lt;35),"L",VLOOKUP(AI45,'Busking Places'!$N$9:$R$28,IF($AD45="w",3,IF($AD45="c",4,IF($AD45="s",5,0))))))</f>
        <v>6</v>
      </c>
      <c r="AL45" s="96" t="str">
        <f>IF(AE45="L","LUNCH",VLOOKUP(AE45,'Busking Places'!$A$3:$B$31,2,0))</f>
        <v>Mawson Road</v>
      </c>
      <c r="AM45" s="96" t="str">
        <f>IF(AF45="L","LUNCH",VLOOKUP(AF45,'Busking Places'!$A$3:$B$31,2,0))</f>
        <v>The Cambridge Blue</v>
      </c>
      <c r="AN45" s="96" t="str">
        <f>IF(AG45="L","LUNCH",VLOOKUP(AG45,'Busking Places'!$A$3:$B$31,2,0))</f>
        <v>The Tram Depot</v>
      </c>
      <c r="AO45" s="96" t="str">
        <f>IF(AH45="L","LUNCH",VLOOKUP(AH45,'Busking Places'!$A$3:$B$31,2,0))</f>
        <v>LUNCH</v>
      </c>
      <c r="AP45" s="96" t="str">
        <f>IF(AI45="L","LUNCH",VLOOKUP(AI45,'Busking Places'!$A$3:$B$31,2,0))</f>
        <v>Fitzroy St</v>
      </c>
      <c r="AQ45" s="96" t="str">
        <f>IF(AJ45="L","LUNCH",VLOOKUP(AJ45,'Busking Places'!$A$3:$B$31,2,0))</f>
        <v>Pike's Walk</v>
      </c>
    </row>
    <row r="46" spans="1:43" ht="21">
      <c r="A46" t="s">
        <v>892</v>
      </c>
      <c r="C46" s="9" t="s">
        <v>1059</v>
      </c>
      <c r="D46" s="9" t="s">
        <v>1074</v>
      </c>
      <c r="E46" s="11" t="s">
        <v>1270</v>
      </c>
      <c r="F46" s="191" t="s">
        <v>1271</v>
      </c>
      <c r="G46" s="9" t="s">
        <v>1272</v>
      </c>
      <c r="J46" s="96"/>
      <c r="L46" s="11" t="s">
        <v>1273</v>
      </c>
      <c r="O46" s="190"/>
      <c r="P46" s="9">
        <f>IF(ISERROR(FIND(P$2,$C46)),0,$B46)</f>
        <v>0</v>
      </c>
      <c r="Q46" s="9">
        <f>IF(ISERROR(FIND(Q$2,$C46)),0,$B46)</f>
        <v>0</v>
      </c>
      <c r="R46" s="9">
        <f>IF(ISERROR(FIND(R$2,$C46)),0,$B46)</f>
        <v>0</v>
      </c>
      <c r="S46" s="63">
        <f>IF(ISERROR(FIND(S$2,$C46)),0,1)</f>
        <v>0</v>
      </c>
      <c r="T46" s="63">
        <f>IF(ISERROR(FIND(T$2,$C46)),0,1)</f>
        <v>0</v>
      </c>
      <c r="U46" s="63">
        <f>IF(ISERROR(FIND(U$2,$C46)),0,1)</f>
        <v>1</v>
      </c>
      <c r="V46" s="9">
        <f>IF(ISERROR(FIND(LEFT(V$2,1),$D46)),0,1)</f>
        <v>0</v>
      </c>
      <c r="W46" s="9">
        <f>IF(ISERROR(FIND(LEFT(W$2,1),$D46)),0,1)</f>
        <v>1</v>
      </c>
      <c r="X46" s="9">
        <f>IF(ISERROR(FIND(LEFT(X$2,1),$D46)),0,1)</f>
        <v>0</v>
      </c>
      <c r="Y46" s="9">
        <f>IF(ISERROR(FIND(LEFT(Y$2,1),$D46)),0,1)</f>
        <v>0</v>
      </c>
      <c r="Z46" s="9">
        <f>IF(ISERROR(FIND(LEFT(Z$2,1),$D46)),0,1)</f>
        <v>0</v>
      </c>
      <c r="AA46" s="9">
        <f>IF(ISERROR(FIND(LEFT(AA$2,1),$D46)),0,1)</f>
        <v>0</v>
      </c>
      <c r="AB46" s="9">
        <f>IF(ISERROR(FIND(LEFT(AB$2,1),$D46)),0,1)</f>
        <v>0</v>
      </c>
      <c r="AD46" s="16" t="s">
        <v>1110</v>
      </c>
      <c r="AE46" s="109">
        <v>14</v>
      </c>
      <c r="AF46" s="105">
        <f>IF(AE46="L",VLOOKUP(AD46,'Busking Places'!$N$9:$R$28,IF($AD46="w",3,IF($AD46="c",4,IF($AD46="s",5,0)))),IF(AND(ROW(AF46)-COLUMN(AF46)=ODD(ROW(AF46)-COLUMN(AF46)),COLUMN(AF46)&gt;32,COLUMN(AF46)&lt;35),"L",VLOOKUP(AE46,'Busking Places'!$N$9:$R$28,IF($AD46="w",3,IF($AD46="c",4,IF($AD46="s",5,0))))))</f>
        <v>16</v>
      </c>
      <c r="AG46" s="105" t="str">
        <f>IF(AF46="L",VLOOKUP(AE46,'Busking Places'!$N$9:$R$28,IF($AD46="w",3,IF($AD46="c",4,IF($AD46="s",5,0)))),IF(AND(ROW(AG46)-COLUMN(AG46)=ODD(ROW(AG46)-COLUMN(AG46)),COLUMN(AG46)&gt;32,COLUMN(AG46)&lt;35),"L",VLOOKUP(AF46,'Busking Places'!$N$9:$R$28,IF($AD46="w",3,IF($AD46="c",4,IF($AD46="s",5,0))))))</f>
        <v>L</v>
      </c>
      <c r="AH46" s="105">
        <f>IF(AG46="L",VLOOKUP(AF46,'Busking Places'!$N$9:$R$28,IF($AD46="w",3,IF($AD46="c",4,IF($AD46="s",5,0)))),IF(AND(ROW(AH46)-COLUMN(AH46)=ODD(ROW(AH46)-COLUMN(AH46)),COLUMN(AH46)&gt;32,COLUMN(AH46)&lt;35),"L",VLOOKUP(AG46,'Busking Places'!$N$9:$R$28,IF($AD46="w",3,IF($AD46="c",4,IF($AD46="s",5,0))))))</f>
        <v>18</v>
      </c>
      <c r="AI46" s="105">
        <f>IF(AH46="L",VLOOKUP(AG46,'Busking Places'!$N$9:$R$28,IF($AD46="w",3,IF($AD46="c",4,IF($AD46="s",5,0)))),IF(AND(ROW(AI46)-COLUMN(AI46)=ODD(ROW(AI46)-COLUMN(AI46)),COLUMN(AI46)&gt;32,COLUMN(AI46)&lt;35),"L",VLOOKUP(AH46,'Busking Places'!$N$9:$R$28,IF($AD46="w",3,IF($AD46="c",4,IF($AD46="s",5,0))))))</f>
        <v>20</v>
      </c>
      <c r="AJ46" s="105">
        <f>IF(AI46="L",VLOOKUP(AH46,'Busking Places'!$N$9:$R$28,IF($AD46="w",3,IF($AD46="c",4,IF($AD46="s",5,0)))),IF(AND(ROW(AJ46)-COLUMN(AJ46)=ODD(ROW(AJ46)-COLUMN(AJ46)),COLUMN(AJ46)&gt;32,COLUMN(AJ46)&lt;35),"L",VLOOKUP(AI46,'Busking Places'!$N$9:$R$28,IF($AD46="w",3,IF($AD46="c",4,IF($AD46="s",5,0))))))</f>
        <v>2</v>
      </c>
      <c r="AL46" s="96" t="str">
        <f>IF(AE46="L","LUNCH",VLOOKUP(AE46,'Busking Places'!$A$3:$B$31,2,0))</f>
        <v>Mawson Road</v>
      </c>
      <c r="AM46" s="96" t="str">
        <f>IF(AF46="L","LUNCH",VLOOKUP(AF46,'Busking Places'!$A$3:$B$31,2,0))</f>
        <v>Regent Terrace, N</v>
      </c>
      <c r="AN46" s="96" t="str">
        <f>IF(AG46="L","LUNCH",VLOOKUP(AG46,'Busking Places'!$A$3:$B$31,2,0))</f>
        <v>LUNCH</v>
      </c>
      <c r="AO46" s="96" t="str">
        <f>IF(AH46="L","LUNCH",VLOOKUP(AH46,'Busking Places'!$A$3:$B$31,2,0))</f>
        <v>Guildhall, Mkt. Hill</v>
      </c>
      <c r="AP46" s="96" t="str">
        <f>IF(AI46="L","LUNCH",VLOOKUP(AI46,'Busking Places'!$A$3:$B$31,2,0))</f>
        <v>Sidney Street</v>
      </c>
      <c r="AQ46" s="96" t="str">
        <f>IF(AJ46="L","LUNCH",VLOOKUP(AJ46,'Busking Places'!$A$3:$B$31,2,0))</f>
        <v>The Maypole</v>
      </c>
    </row>
    <row r="47" spans="1:43" ht="21">
      <c r="A47" s="11" t="s">
        <v>893</v>
      </c>
      <c r="B47" s="9">
        <v>8</v>
      </c>
      <c r="C47" s="9" t="s">
        <v>1058</v>
      </c>
      <c r="D47" s="9" t="s">
        <v>1074</v>
      </c>
      <c r="E47" s="11" t="s">
        <v>1274</v>
      </c>
      <c r="F47" s="191" t="s">
        <v>1275</v>
      </c>
      <c r="G47" s="9" t="s">
        <v>1276</v>
      </c>
      <c r="H47" s="9" t="s">
        <v>1277</v>
      </c>
      <c r="J47" s="96"/>
      <c r="L47" s="11" t="s">
        <v>1278</v>
      </c>
      <c r="N47" s="190">
        <v>41653</v>
      </c>
      <c r="P47" s="9">
        <f>IF(ISERROR(FIND(P$2,$C47)),0,$B47)</f>
        <v>0</v>
      </c>
      <c r="Q47" s="9">
        <f>IF(ISERROR(FIND(Q$2,$C47)),0,$B47)</f>
        <v>8</v>
      </c>
      <c r="R47" s="9">
        <f>IF(ISERROR(FIND(R$2,$C47)),0,$B47)</f>
        <v>0</v>
      </c>
      <c r="S47" s="63">
        <f>IF(ISERROR(FIND(S$2,$C47)),0,1)</f>
        <v>0</v>
      </c>
      <c r="T47" s="63">
        <f>IF(ISERROR(FIND(T$2,$C47)),0,1)</f>
        <v>1</v>
      </c>
      <c r="U47" s="63">
        <f>IF(ISERROR(FIND(U$2,$C47)),0,1)</f>
        <v>0</v>
      </c>
      <c r="V47" s="9">
        <f>IF(ISERROR(FIND(LEFT(V$2,1),$D47)),0,1)</f>
        <v>0</v>
      </c>
      <c r="W47" s="9">
        <f>IF(ISERROR(FIND(LEFT(W$2,1),$D47)),0,1)</f>
        <v>1</v>
      </c>
      <c r="X47" s="9">
        <f>IF(ISERROR(FIND(LEFT(X$2,1),$D47)),0,1)</f>
        <v>0</v>
      </c>
      <c r="Y47" s="9">
        <f>IF(ISERROR(FIND(LEFT(Y$2,1),$D47)),0,1)</f>
        <v>0</v>
      </c>
      <c r="Z47" s="9">
        <f>IF(ISERROR(FIND(LEFT(Z$2,1),$D47)),0,1)</f>
        <v>0</v>
      </c>
      <c r="AA47" s="9">
        <f>IF(ISERROR(FIND(LEFT(AA$2,1),$D47)),0,1)</f>
        <v>0</v>
      </c>
      <c r="AB47" s="9">
        <f>IF(ISERROR(FIND(LEFT(AB$2,1),$D47)),0,1)</f>
        <v>0</v>
      </c>
      <c r="AD47" s="16" t="s">
        <v>1080</v>
      </c>
      <c r="AE47" s="109">
        <v>15</v>
      </c>
      <c r="AF47" s="105">
        <f>IF(AE47="L",VLOOKUP(AD47,'Busking Places'!$N$9:$R$28,IF($AD47="w",3,IF($AD47="c",4,IF($AD47="s",5,0)))),IF(AND(ROW(AF47)-COLUMN(AF47)=ODD(ROW(AF47)-COLUMN(AF47)),COLUMN(AF47)&gt;32,COLUMN(AF47)&lt;35),"L",VLOOKUP(AE47,'Busking Places'!$N$9:$R$28,IF($AD47="w",3,IF($AD47="c",4,IF($AD47="s",5,0))))))</f>
        <v>13</v>
      </c>
      <c r="AG47" s="105">
        <f>IF(AF47="L",VLOOKUP(AE47,'Busking Places'!$N$9:$R$28,IF($AD47="w",3,IF($AD47="c",4,IF($AD47="s",5,0)))),IF(AND(ROW(AG47)-COLUMN(AG47)=ODD(ROW(AG47)-COLUMN(AG47)),COLUMN(AG47)&gt;32,COLUMN(AG47)&lt;35),"L",VLOOKUP(AF47,'Busking Places'!$N$9:$R$28,IF($AD47="w",3,IF($AD47="c",4,IF($AD47="s",5,0))))))</f>
        <v>11</v>
      </c>
      <c r="AH47" s="105" t="str">
        <f>IF(AG47="L",VLOOKUP(AF47,'Busking Places'!$N$9:$R$28,IF($AD47="w",3,IF($AD47="c",4,IF($AD47="s",5,0)))),IF(AND(ROW(AH47)-COLUMN(AH47)=ODD(ROW(AH47)-COLUMN(AH47)),COLUMN(AH47)&gt;32,COLUMN(AH47)&lt;35),"L",VLOOKUP(AG47,'Busking Places'!$N$9:$R$28,IF($AD47="w",3,IF($AD47="c",4,IF($AD47="s",5,0))))))</f>
        <v>L</v>
      </c>
      <c r="AI47" s="105">
        <f>IF(AH47="L",VLOOKUP(AG47,'Busking Places'!$N$9:$R$28,IF($AD47="w",3,IF($AD47="c",4,IF($AD47="s",5,0)))),IF(AND(ROW(AI47)-COLUMN(AI47)=ODD(ROW(AI47)-COLUMN(AI47)),COLUMN(AI47)&gt;32,COLUMN(AI47)&lt;35),"L",VLOOKUP(AH47,'Busking Places'!$N$9:$R$28,IF($AD47="w",3,IF($AD47="c",4,IF($AD47="s",5,0))))))</f>
        <v>9</v>
      </c>
      <c r="AJ47" s="105">
        <f>IF(AI47="L",VLOOKUP(AH47,'Busking Places'!$N$9:$R$28,IF($AD47="w",3,IF($AD47="c",4,IF($AD47="s",5,0)))),IF(AND(ROW(AJ47)-COLUMN(AJ47)=ODD(ROW(AJ47)-COLUMN(AJ47)),COLUMN(AJ47)&gt;32,COLUMN(AJ47)&lt;35),"L",VLOOKUP(AI47,'Busking Places'!$N$9:$R$28,IF($AD47="w",3,IF($AD47="c",4,IF($AD47="s",5,0))))))</f>
        <v>7</v>
      </c>
      <c r="AL47" s="96" t="str">
        <f>IF(AE47="L","LUNCH",VLOOKUP(AE47,'Busking Places'!$A$3:$B$31,2,0))</f>
        <v>Regent Terrace, S</v>
      </c>
      <c r="AM47" s="96" t="str">
        <f>IF(AF47="L","LUNCH",VLOOKUP(AF47,'Busking Places'!$A$3:$B$31,2,0))</f>
        <v>Covent Garden</v>
      </c>
      <c r="AN47" s="96" t="str">
        <f>IF(AG47="L","LUNCH",VLOOKUP(AG47,'Busking Places'!$A$3:$B$31,2,0))</f>
        <v>Alexandra Arms</v>
      </c>
      <c r="AO47" s="96" t="str">
        <f>IF(AH47="L","LUNCH",VLOOKUP(AH47,'Busking Places'!$A$3:$B$31,2,0))</f>
        <v>LUNCH</v>
      </c>
      <c r="AP47" s="96" t="str">
        <f>IF(AI47="L","LUNCH",VLOOKUP(AI47,'Busking Places'!$A$3:$B$31,2,0))</f>
        <v>Eden Street</v>
      </c>
      <c r="AQ47" s="96" t="str">
        <f>IF(AJ47="L","LUNCH",VLOOKUP(AJ47,'Busking Places'!$A$3:$B$31,2,0))</f>
        <v>Christ's Pieces</v>
      </c>
    </row>
    <row r="48" spans="1:43" ht="12.75">
      <c r="A48" s="11" t="s">
        <v>894</v>
      </c>
      <c r="B48" s="9">
        <v>6</v>
      </c>
      <c r="C48" s="9" t="s">
        <v>1057</v>
      </c>
      <c r="D48" s="9" t="s">
        <v>1074</v>
      </c>
      <c r="E48" s="11" t="s">
        <v>1279</v>
      </c>
      <c r="F48" s="191" t="s">
        <v>1280</v>
      </c>
      <c r="H48" s="9" t="s">
        <v>1281</v>
      </c>
      <c r="J48" s="96"/>
      <c r="L48" s="11" t="s">
        <v>1282</v>
      </c>
      <c r="N48" s="190">
        <v>41713</v>
      </c>
      <c r="P48" s="9">
        <f>IF(ISERROR(FIND(P$2,$C48)),0,$B48)</f>
        <v>6</v>
      </c>
      <c r="Q48" s="9">
        <f>IF(ISERROR(FIND(Q$2,$C48)),0,$B48)</f>
        <v>0</v>
      </c>
      <c r="R48" s="9">
        <f>IF(ISERROR(FIND(R$2,$C48)),0,$B48)</f>
        <v>0</v>
      </c>
      <c r="S48" s="63">
        <f>IF(ISERROR(FIND(S$2,$C48)),0,1)</f>
        <v>1</v>
      </c>
      <c r="T48" s="63">
        <f>IF(ISERROR(FIND(T$2,$C48)),0,1)</f>
        <v>0</v>
      </c>
      <c r="U48" s="63">
        <f>IF(ISERROR(FIND(U$2,$C48)),0,1)</f>
        <v>0</v>
      </c>
      <c r="V48" s="9">
        <f>IF(ISERROR(FIND(LEFT(V$2,1),$D48)),0,1)</f>
        <v>0</v>
      </c>
      <c r="W48" s="9">
        <f>IF(ISERROR(FIND(LEFT(W$2,1),$D48)),0,1)</f>
        <v>1</v>
      </c>
      <c r="X48" s="9">
        <f>IF(ISERROR(FIND(LEFT(X$2,1),$D48)),0,1)</f>
        <v>0</v>
      </c>
      <c r="Y48" s="9">
        <f>IF(ISERROR(FIND(LEFT(Y$2,1),$D48)),0,1)</f>
        <v>0</v>
      </c>
      <c r="Z48" s="9">
        <f>IF(ISERROR(FIND(LEFT(Z$2,1),$D48)),0,1)</f>
        <v>0</v>
      </c>
      <c r="AA48" s="9">
        <f>IF(ISERROR(FIND(LEFT(AA$2,1),$D48)),0,1)</f>
        <v>0</v>
      </c>
      <c r="AB48" s="9">
        <f>IF(ISERROR(FIND(LEFT(AB$2,1),$D48)),0,1)</f>
        <v>0</v>
      </c>
      <c r="AD48" s="16" t="s">
        <v>1110</v>
      </c>
      <c r="AE48" s="109">
        <v>15</v>
      </c>
      <c r="AF48" s="105">
        <f>IF(AE48="L",VLOOKUP(AD48,'Busking Places'!$N$9:$R$28,IF($AD48="w",3,IF($AD48="c",4,IF($AD48="s",5,0)))),IF(AND(ROW(AF48)-COLUMN(AF48)=ODD(ROW(AF48)-COLUMN(AF48)),COLUMN(AF48)&gt;32,COLUMN(AF48)&lt;35),"L",VLOOKUP(AE48,'Busking Places'!$N$9:$R$28,IF($AD48="w",3,IF($AD48="c",4,IF($AD48="s",5,0))))))</f>
        <v>17</v>
      </c>
      <c r="AG48" s="105" t="str">
        <f>IF(AF48="L",VLOOKUP(AE48,'Busking Places'!$N$9:$R$28,IF($AD48="w",3,IF($AD48="c",4,IF($AD48="s",5,0)))),IF(AND(ROW(AG48)-COLUMN(AG48)=ODD(ROW(AG48)-COLUMN(AG48)),COLUMN(AG48)&gt;32,COLUMN(AG48)&lt;35),"L",VLOOKUP(AF48,'Busking Places'!$N$9:$R$28,IF($AD48="w",3,IF($AD48="c",4,IF($AD48="s",5,0))))))</f>
        <v>L</v>
      </c>
      <c r="AH48" s="105">
        <f>IF(AG48="L",VLOOKUP(AF48,'Busking Places'!$N$9:$R$28,IF($AD48="w",3,IF($AD48="c",4,IF($AD48="s",5,0)))),IF(AND(ROW(AH48)-COLUMN(AH48)=ODD(ROW(AH48)-COLUMN(AH48)),COLUMN(AH48)&gt;32,COLUMN(AH48)&lt;35),"L",VLOOKUP(AG48,'Busking Places'!$N$9:$R$28,IF($AD48="w",3,IF($AD48="c",4,IF($AD48="s",5,0))))))</f>
        <v>19</v>
      </c>
      <c r="AI48" s="105">
        <f>IF(AH48="L",VLOOKUP(AG48,'Busking Places'!$N$9:$R$28,IF($AD48="w",3,IF($AD48="c",4,IF($AD48="s",5,0)))),IF(AND(ROW(AI48)-COLUMN(AI48)=ODD(ROW(AI48)-COLUMN(AI48)),COLUMN(AI48)&gt;32,COLUMN(AI48)&lt;35),"L",VLOOKUP(AH48,'Busking Places'!$N$9:$R$28,IF($AD48="w",3,IF($AD48="c",4,IF($AD48="s",5,0))))))</f>
        <v>1</v>
      </c>
      <c r="AJ48" s="105">
        <f>IF(AI48="L",VLOOKUP(AH48,'Busking Places'!$N$9:$R$28,IF($AD48="w",3,IF($AD48="c",4,IF($AD48="s",5,0)))),IF(AND(ROW(AJ48)-COLUMN(AJ48)=ODD(ROW(AJ48)-COLUMN(AJ48)),COLUMN(AJ48)&gt;32,COLUMN(AJ48)&lt;35),"L",VLOOKUP(AI48,'Busking Places'!$N$9:$R$28,IF($AD48="w",3,IF($AD48="c",4,IF($AD48="s",5,0))))))</f>
        <v>3</v>
      </c>
      <c r="AL48" s="96" t="str">
        <f>IF(AE48="L","LUNCH",VLOOKUP(AE48,'Busking Places'!$A$3:$B$31,2,0))</f>
        <v>Regent Terrace, S</v>
      </c>
      <c r="AM48" s="96" t="str">
        <f>IF(AF48="L","LUNCH",VLOOKUP(AF48,'Busking Places'!$A$3:$B$31,2,0))</f>
        <v>Laundress Green</v>
      </c>
      <c r="AN48" s="96" t="str">
        <f>IF(AG48="L","LUNCH",VLOOKUP(AG48,'Busking Places'!$A$3:$B$31,2,0))</f>
        <v>LUNCH</v>
      </c>
      <c r="AO48" s="96" t="str">
        <f>IF(AH48="L","LUNCH",VLOOKUP(AH48,'Busking Places'!$A$3:$B$31,2,0))</f>
        <v>Gt St Mary's</v>
      </c>
      <c r="AP48" s="96" t="str">
        <f>IF(AI48="L","LUNCH",VLOOKUP(AI48,'Busking Places'!$A$3:$B$31,2,0))</f>
        <v>Quayside</v>
      </c>
      <c r="AQ48" s="96" t="str">
        <f>IF(AJ48="L","LUNCH",VLOOKUP(AJ48,'Busking Places'!$A$3:$B$31,2,0))</f>
        <v>Jesus Green</v>
      </c>
    </row>
    <row r="49" spans="1:43" ht="12.75">
      <c r="A49" s="11" t="s">
        <v>895</v>
      </c>
      <c r="B49" s="9">
        <v>6</v>
      </c>
      <c r="C49" s="9" t="s">
        <v>1058</v>
      </c>
      <c r="D49" s="9" t="s">
        <v>1074</v>
      </c>
      <c r="E49" s="11" t="s">
        <v>1283</v>
      </c>
      <c r="F49" s="191" t="s">
        <v>1284</v>
      </c>
      <c r="G49" s="9" t="s">
        <v>1285</v>
      </c>
      <c r="J49" s="96"/>
      <c r="L49" s="11" t="s">
        <v>1286</v>
      </c>
      <c r="M49" s="11" t="s">
        <v>1287</v>
      </c>
      <c r="N49" s="190">
        <v>41613</v>
      </c>
      <c r="P49" s="9">
        <f>IF(ISERROR(FIND(P$2,$C49)),0,$B49)</f>
        <v>0</v>
      </c>
      <c r="Q49" s="9">
        <f>IF(ISERROR(FIND(Q$2,$C49)),0,$B49)</f>
        <v>6</v>
      </c>
      <c r="R49" s="9">
        <f>IF(ISERROR(FIND(R$2,$C49)),0,$B49)</f>
        <v>0</v>
      </c>
      <c r="S49" s="63">
        <f>IF(ISERROR(FIND(S$2,$C49)),0,1)</f>
        <v>0</v>
      </c>
      <c r="T49" s="63">
        <f>IF(ISERROR(FIND(T$2,$C49)),0,1)</f>
        <v>1</v>
      </c>
      <c r="U49" s="63">
        <f>IF(ISERROR(FIND(U$2,$C49)),0,1)</f>
        <v>0</v>
      </c>
      <c r="V49" s="9">
        <f>IF(ISERROR(FIND(LEFT(V$2,1),$D49)),0,1)</f>
        <v>0</v>
      </c>
      <c r="W49" s="9">
        <f>IF(ISERROR(FIND(LEFT(W$2,1),$D49)),0,1)</f>
        <v>1</v>
      </c>
      <c r="X49" s="9">
        <f>IF(ISERROR(FIND(LEFT(X$2,1),$D49)),0,1)</f>
        <v>0</v>
      </c>
      <c r="Y49" s="9">
        <f>IF(ISERROR(FIND(LEFT(Y$2,1),$D49)),0,1)</f>
        <v>0</v>
      </c>
      <c r="Z49" s="9">
        <f>IF(ISERROR(FIND(LEFT(Z$2,1),$D49)),0,1)</f>
        <v>0</v>
      </c>
      <c r="AA49" s="9">
        <f>IF(ISERROR(FIND(LEFT(AA$2,1),$D49)),0,1)</f>
        <v>0</v>
      </c>
      <c r="AB49" s="9">
        <f>IF(ISERROR(FIND(LEFT(AB$2,1),$D49)),0,1)</f>
        <v>0</v>
      </c>
      <c r="AD49" s="16" t="s">
        <v>1080</v>
      </c>
      <c r="AE49" s="109">
        <v>16</v>
      </c>
      <c r="AF49" s="105">
        <f>IF(AE49="L",VLOOKUP(AD49,'Busking Places'!$N$9:$R$28,IF($AD49="w",3,IF($AD49="c",4,IF($AD49="s",5,0)))),IF(AND(ROW(AF49)-COLUMN(AF49)=ODD(ROW(AF49)-COLUMN(AF49)),COLUMN(AF49)&gt;32,COLUMN(AF49)&lt;35),"L",VLOOKUP(AE49,'Busking Places'!$N$9:$R$28,IF($AD49="w",3,IF($AD49="c",4,IF($AD49="s",5,0))))))</f>
        <v>14</v>
      </c>
      <c r="AG49" s="105">
        <f>IF(AF49="L",VLOOKUP(AE49,'Busking Places'!$N$9:$R$28,IF($AD49="w",3,IF($AD49="c",4,IF($AD49="s",5,0)))),IF(AND(ROW(AG49)-COLUMN(AG49)=ODD(ROW(AG49)-COLUMN(AG49)),COLUMN(AG49)&gt;32,COLUMN(AG49)&lt;35),"L",VLOOKUP(AF49,'Busking Places'!$N$9:$R$28,IF($AD49="w",3,IF($AD49="c",4,IF($AD49="s",5,0))))))</f>
        <v>12</v>
      </c>
      <c r="AH49" s="105" t="str">
        <f>IF(AG49="L",VLOOKUP(AF49,'Busking Places'!$N$9:$R$28,IF($AD49="w",3,IF($AD49="c",4,IF($AD49="s",5,0)))),IF(AND(ROW(AH49)-COLUMN(AH49)=ODD(ROW(AH49)-COLUMN(AH49)),COLUMN(AH49)&gt;32,COLUMN(AH49)&lt;35),"L",VLOOKUP(AG49,'Busking Places'!$N$9:$R$28,IF($AD49="w",3,IF($AD49="c",4,IF($AD49="s",5,0))))))</f>
        <v>L</v>
      </c>
      <c r="AI49" s="105">
        <f>IF(AH49="L",VLOOKUP(AG49,'Busking Places'!$N$9:$R$28,IF($AD49="w",3,IF($AD49="c",4,IF($AD49="s",5,0)))),IF(AND(ROW(AI49)-COLUMN(AI49)=ODD(ROW(AI49)-COLUMN(AI49)),COLUMN(AI49)&gt;32,COLUMN(AI49)&lt;35),"L",VLOOKUP(AH49,'Busking Places'!$N$9:$R$28,IF($AD49="w",3,IF($AD49="c",4,IF($AD49="s",5,0))))))</f>
        <v>10</v>
      </c>
      <c r="AJ49" s="105">
        <f>IF(AI49="L",VLOOKUP(AH49,'Busking Places'!$N$9:$R$28,IF($AD49="w",3,IF($AD49="c",4,IF($AD49="s",5,0)))),IF(AND(ROW(AJ49)-COLUMN(AJ49)=ODD(ROW(AJ49)-COLUMN(AJ49)),COLUMN(AJ49)&gt;32,COLUMN(AJ49)&lt;35),"L",VLOOKUP(AI49,'Busking Places'!$N$9:$R$28,IF($AD49="w",3,IF($AD49="c",4,IF($AD49="s",5,0))))))</f>
        <v>8</v>
      </c>
      <c r="AL49" s="96" t="str">
        <f>IF(AE49="L","LUNCH",VLOOKUP(AE49,'Busking Places'!$A$3:$B$31,2,0))</f>
        <v>Regent Terrace, N</v>
      </c>
      <c r="AM49" s="96" t="str">
        <f>IF(AF49="L","LUNCH",VLOOKUP(AF49,'Busking Places'!$A$3:$B$31,2,0))</f>
        <v>Mawson Road</v>
      </c>
      <c r="AN49" s="96" t="str">
        <f>IF(AG49="L","LUNCH",VLOOKUP(AG49,'Busking Places'!$A$3:$B$31,2,0))</f>
        <v>The Cambridge Blue</v>
      </c>
      <c r="AO49" s="96" t="str">
        <f>IF(AH49="L","LUNCH",VLOOKUP(AH49,'Busking Places'!$A$3:$B$31,2,0))</f>
        <v>LUNCH</v>
      </c>
      <c r="AP49" s="96" t="str">
        <f>IF(AI49="L","LUNCH",VLOOKUP(AI49,'Busking Places'!$A$3:$B$31,2,0))</f>
        <v>The Tram Depot</v>
      </c>
      <c r="AQ49" s="96" t="str">
        <f>IF(AJ49="L","LUNCH",VLOOKUP(AJ49,'Busking Places'!$A$3:$B$31,2,0))</f>
        <v>Fitzroy St</v>
      </c>
    </row>
    <row r="50" spans="1:43" ht="12.75">
      <c r="A50" s="11" t="s">
        <v>854</v>
      </c>
      <c r="B50" s="9">
        <v>25</v>
      </c>
      <c r="C50" s="9" t="s">
        <v>1057</v>
      </c>
      <c r="D50" s="9" t="s">
        <v>1288</v>
      </c>
      <c r="E50" s="11" t="s">
        <v>1289</v>
      </c>
      <c r="F50" s="191" t="s">
        <v>1290</v>
      </c>
      <c r="H50" s="9" t="s">
        <v>1291</v>
      </c>
      <c r="J50" s="96"/>
      <c r="K50" s="9" t="s">
        <v>1091</v>
      </c>
      <c r="M50" s="11" t="s">
        <v>1292</v>
      </c>
      <c r="O50" s="190">
        <v>41701</v>
      </c>
      <c r="P50" s="9">
        <f>IF(ISERROR(FIND(P$2,$C50)),0,$B50)</f>
        <v>25</v>
      </c>
      <c r="Q50" s="9">
        <f>IF(ISERROR(FIND(Q$2,$C50)),0,$B50)</f>
        <v>0</v>
      </c>
      <c r="R50" s="9">
        <f>IF(ISERROR(FIND(R$2,$C50)),0,$B50)</f>
        <v>0</v>
      </c>
      <c r="S50" s="63">
        <f>IF(ISERROR(FIND(S$2,$C50)),0,1)</f>
        <v>1</v>
      </c>
      <c r="T50" s="63">
        <f>IF(ISERROR(FIND(T$2,$C50)),0,1)</f>
        <v>0</v>
      </c>
      <c r="U50" s="63">
        <f>IF(ISERROR(FIND(U$2,$C50)),0,1)</f>
        <v>0</v>
      </c>
      <c r="V50" s="9">
        <f>IF(ISERROR(FIND(LEFT(V$2,1),$D50)),0,1)</f>
        <v>0</v>
      </c>
      <c r="W50" s="9">
        <f>IF(ISERROR(FIND(LEFT(W$2,1),$D50)),0,1)</f>
        <v>1</v>
      </c>
      <c r="X50" s="9">
        <f>IF(ISERROR(FIND(LEFT(X$2,1),$D50)),0,1)</f>
        <v>0</v>
      </c>
      <c r="Y50" s="9">
        <f>IF(ISERROR(FIND(LEFT(Y$2,1),$D50)),0,1)</f>
        <v>0</v>
      </c>
      <c r="Z50" s="9">
        <f>IF(ISERROR(FIND(LEFT(Z$2,1),$D50)),0,1)</f>
        <v>1</v>
      </c>
      <c r="AA50" s="9">
        <f>IF(ISERROR(FIND(LEFT(AA$2,1),$D50)),0,1)</f>
        <v>0</v>
      </c>
      <c r="AB50" s="9">
        <f>IF(ISERROR(FIND(LEFT(AB$2,1),$D50)),0,1)</f>
        <v>0</v>
      </c>
      <c r="AD50" s="16" t="s">
        <v>1080</v>
      </c>
      <c r="AE50" s="109">
        <v>17</v>
      </c>
      <c r="AF50" s="105">
        <f>IF(AE50="L",VLOOKUP(AD50,'Busking Places'!$N$9:$R$28,IF($AD50="w",3,IF($AD50="c",4,IF($AD50="s",5,0)))),IF(AND(ROW(AF50)-COLUMN(AF50)=ODD(ROW(AF50)-COLUMN(AF50)),COLUMN(AF50)&gt;32,COLUMN(AF50)&lt;35),"L",VLOOKUP(AE50,'Busking Places'!$N$9:$R$28,IF($AD50="w",3,IF($AD50="c",4,IF($AD50="s",5,0))))))</f>
        <v>15</v>
      </c>
      <c r="AG50" s="105" t="str">
        <f>IF(AF50="L",VLOOKUP(AE50,'Busking Places'!$N$9:$R$28,IF($AD50="w",3,IF($AD50="c",4,IF($AD50="s",5,0)))),IF(AND(ROW(AG50)-COLUMN(AG50)=ODD(ROW(AG50)-COLUMN(AG50)),COLUMN(AG50)&gt;32,COLUMN(AG50)&lt;35),"L",VLOOKUP(AF50,'Busking Places'!$N$9:$R$28,IF($AD50="w",3,IF($AD50="c",4,IF($AD50="s",5,0))))))</f>
        <v>L</v>
      </c>
      <c r="AH50" s="105">
        <f>IF(AG50="L",VLOOKUP(AF50,'Busking Places'!$N$9:$R$28,IF($AD50="w",3,IF($AD50="c",4,IF($AD50="s",5,0)))),IF(AND(ROW(AH50)-COLUMN(AH50)=ODD(ROW(AH50)-COLUMN(AH50)),COLUMN(AH50)&gt;32,COLUMN(AH50)&lt;35),"L",VLOOKUP(AG50,'Busking Places'!$N$9:$R$28,IF($AD50="w",3,IF($AD50="c",4,IF($AD50="s",5,0))))))</f>
        <v>13</v>
      </c>
      <c r="AI50" s="105">
        <f>IF(AH50="L",VLOOKUP(AG50,'Busking Places'!$N$9:$R$28,IF($AD50="w",3,IF($AD50="c",4,IF($AD50="s",5,0)))),IF(AND(ROW(AI50)-COLUMN(AI50)=ODD(ROW(AI50)-COLUMN(AI50)),COLUMN(AI50)&gt;32,COLUMN(AI50)&lt;35),"L",VLOOKUP(AH50,'Busking Places'!$N$9:$R$28,IF($AD50="w",3,IF($AD50="c",4,IF($AD50="s",5,0))))))</f>
        <v>11</v>
      </c>
      <c r="AJ50" s="105">
        <f>IF(AI50="L",VLOOKUP(AH50,'Busking Places'!$N$9:$R$28,IF($AD50="w",3,IF($AD50="c",4,IF($AD50="s",5,0)))),IF(AND(ROW(AJ50)-COLUMN(AJ50)=ODD(ROW(AJ50)-COLUMN(AJ50)),COLUMN(AJ50)&gt;32,COLUMN(AJ50)&lt;35),"L",VLOOKUP(AI50,'Busking Places'!$N$9:$R$28,IF($AD50="w",3,IF($AD50="c",4,IF($AD50="s",5,0))))))</f>
        <v>9</v>
      </c>
      <c r="AL50" s="96" t="str">
        <f>IF(AE50="L","LUNCH",VLOOKUP(AE50,'Busking Places'!$A$3:$B$31,2,0))</f>
        <v>Laundress Green</v>
      </c>
      <c r="AM50" s="96" t="str">
        <f>IF(AF50="L","LUNCH",VLOOKUP(AF50,'Busking Places'!$A$3:$B$31,2,0))</f>
        <v>Regent Terrace, S</v>
      </c>
      <c r="AN50" s="96" t="str">
        <f>IF(AG50="L","LUNCH",VLOOKUP(AG50,'Busking Places'!$A$3:$B$31,2,0))</f>
        <v>LUNCH</v>
      </c>
      <c r="AO50" s="96" t="str">
        <f>IF(AH50="L","LUNCH",VLOOKUP(AH50,'Busking Places'!$A$3:$B$31,2,0))</f>
        <v>Covent Garden</v>
      </c>
      <c r="AP50" s="96" t="str">
        <f>IF(AI50="L","LUNCH",VLOOKUP(AI50,'Busking Places'!$A$3:$B$31,2,0))</f>
        <v>Alexandra Arms</v>
      </c>
      <c r="AQ50" s="96" t="str">
        <f>IF(AJ50="L","LUNCH",VLOOKUP(AJ50,'Busking Places'!$A$3:$B$31,2,0))</f>
        <v>Eden Street</v>
      </c>
    </row>
    <row r="51" spans="1:43" ht="21">
      <c r="A51" s="11" t="s">
        <v>897</v>
      </c>
      <c r="B51" s="9">
        <v>10</v>
      </c>
      <c r="C51" s="9" t="s">
        <v>1057</v>
      </c>
      <c r="D51" s="9" t="s">
        <v>1293</v>
      </c>
      <c r="E51" s="11" t="s">
        <v>1294</v>
      </c>
      <c r="F51" s="191" t="s">
        <v>1295</v>
      </c>
      <c r="G51" s="9" t="s">
        <v>1296</v>
      </c>
      <c r="H51" s="9" t="s">
        <v>1297</v>
      </c>
      <c r="J51" s="96"/>
      <c r="K51" s="9" t="s">
        <v>907</v>
      </c>
      <c r="O51" s="190">
        <v>41701</v>
      </c>
      <c r="P51" s="9">
        <f>IF(ISERROR(FIND(P$2,$C51)),0,$B51)</f>
        <v>10</v>
      </c>
      <c r="Q51" s="9">
        <f>IF(ISERROR(FIND(Q$2,$C51)),0,$B51)</f>
        <v>0</v>
      </c>
      <c r="R51" s="9">
        <f>IF(ISERROR(FIND(R$2,$C51)),0,$B51)</f>
        <v>0</v>
      </c>
      <c r="S51" s="63">
        <f>IF(ISERROR(FIND(S$2,$C51)),0,1)</f>
        <v>1</v>
      </c>
      <c r="T51" s="63">
        <f>IF(ISERROR(FIND(T$2,$C51)),0,1)</f>
        <v>0</v>
      </c>
      <c r="U51" s="63">
        <f>IF(ISERROR(FIND(U$2,$C51)),0,1)</f>
        <v>0</v>
      </c>
      <c r="V51" s="9">
        <f>IF(ISERROR(FIND(LEFT(V$2,1),$D51)),0,1)</f>
        <v>0</v>
      </c>
      <c r="W51" s="9">
        <f>IF(ISERROR(FIND(LEFT(W$2,1),$D51)),0,1)</f>
        <v>1</v>
      </c>
      <c r="X51" s="9">
        <f>IF(ISERROR(FIND(LEFT(X$2,1),$D51)),0,1)</f>
        <v>0</v>
      </c>
      <c r="Y51" s="9">
        <f>IF(ISERROR(FIND(LEFT(Y$2,1),$D51)),0,1)</f>
        <v>0</v>
      </c>
      <c r="Z51" s="9">
        <f>IF(ISERROR(FIND(LEFT(Z$2,1),$D51)),0,1)</f>
        <v>0</v>
      </c>
      <c r="AA51" s="9">
        <f>IF(ISERROR(FIND(LEFT(AA$2,1),$D51)),0,1)</f>
        <v>1</v>
      </c>
      <c r="AB51" s="9">
        <f>IF(ISERROR(FIND(LEFT(AB$2,1),$D51)),0,1)</f>
        <v>0</v>
      </c>
      <c r="AD51" s="16" t="s">
        <v>1110</v>
      </c>
      <c r="AE51" s="109">
        <v>17</v>
      </c>
      <c r="AF51" s="105">
        <f>IF(AE51="L",VLOOKUP(AD51,'Busking Places'!$N$9:$R$28,IF($AD51="w",3,IF($AD51="c",4,IF($AD51="s",5,0)))),IF(AND(ROW(AF51)-COLUMN(AF51)=ODD(ROW(AF51)-COLUMN(AF51)),COLUMN(AF51)&gt;32,COLUMN(AF51)&lt;35),"L",VLOOKUP(AE51,'Busking Places'!$N$9:$R$28,IF($AD51="w",3,IF($AD51="c",4,IF($AD51="s",5,0))))))</f>
        <v>19</v>
      </c>
      <c r="AG51" s="105">
        <f>IF(AF51="L",VLOOKUP(AE51,'Busking Places'!$N$9:$R$28,IF($AD51="w",3,IF($AD51="c",4,IF($AD51="s",5,0)))),IF(AND(ROW(AG51)-COLUMN(AG51)=ODD(ROW(AG51)-COLUMN(AG51)),COLUMN(AG51)&gt;32,COLUMN(AG51)&lt;35),"L",VLOOKUP(AF51,'Busking Places'!$N$9:$R$28,IF($AD51="w",3,IF($AD51="c",4,IF($AD51="s",5,0))))))</f>
        <v>1</v>
      </c>
      <c r="AH51" s="105" t="str">
        <f>IF(AG51="L",VLOOKUP(AF51,'Busking Places'!$N$9:$R$28,IF($AD51="w",3,IF($AD51="c",4,IF($AD51="s",5,0)))),IF(AND(ROW(AH51)-COLUMN(AH51)=ODD(ROW(AH51)-COLUMN(AH51)),COLUMN(AH51)&gt;32,COLUMN(AH51)&lt;35),"L",VLOOKUP(AG51,'Busking Places'!$N$9:$R$28,IF($AD51="w",3,IF($AD51="c",4,IF($AD51="s",5,0))))))</f>
        <v>L</v>
      </c>
      <c r="AI51" s="105">
        <f>IF(AH51="L",VLOOKUP(AG51,'Busking Places'!$N$9:$R$28,IF($AD51="w",3,IF($AD51="c",4,IF($AD51="s",5,0)))),IF(AND(ROW(AI51)-COLUMN(AI51)=ODD(ROW(AI51)-COLUMN(AI51)),COLUMN(AI51)&gt;32,COLUMN(AI51)&lt;35),"L",VLOOKUP(AH51,'Busking Places'!$N$9:$R$28,IF($AD51="w",3,IF($AD51="c",4,IF($AD51="s",5,0))))))</f>
        <v>3</v>
      </c>
      <c r="AJ51" s="105">
        <f>IF(AI51="L",VLOOKUP(AH51,'Busking Places'!$N$9:$R$28,IF($AD51="w",3,IF($AD51="c",4,IF($AD51="s",5,0)))),IF(AND(ROW(AJ51)-COLUMN(AJ51)=ODD(ROW(AJ51)-COLUMN(AJ51)),COLUMN(AJ51)&gt;32,COLUMN(AJ51)&lt;35),"L",VLOOKUP(AI51,'Busking Places'!$N$9:$R$28,IF($AD51="w",3,IF($AD51="c",4,IF($AD51="s",5,0))))))</f>
        <v>5</v>
      </c>
      <c r="AL51" s="96" t="str">
        <f>IF(AE51="L","LUNCH",VLOOKUP(AE51,'Busking Places'!$A$3:$B$31,2,0))</f>
        <v>Laundress Green</v>
      </c>
      <c r="AM51" s="96" t="str">
        <f>IF(AF51="L","LUNCH",VLOOKUP(AF51,'Busking Places'!$A$3:$B$31,2,0))</f>
        <v>Gt St Mary's</v>
      </c>
      <c r="AN51" s="96" t="str">
        <f>IF(AG51="L","LUNCH",VLOOKUP(AG51,'Busking Places'!$A$3:$B$31,2,0))</f>
        <v>Quayside</v>
      </c>
      <c r="AO51" s="96" t="str">
        <f>IF(AH51="L","LUNCH",VLOOKUP(AH51,'Busking Places'!$A$3:$B$31,2,0))</f>
        <v>LUNCH</v>
      </c>
      <c r="AP51" s="96" t="str">
        <f>IF(AI51="L","LUNCH",VLOOKUP(AI51,'Busking Places'!$A$3:$B$31,2,0))</f>
        <v>Jesus Green</v>
      </c>
      <c r="AQ51" s="96" t="str">
        <f>IF(AJ51="L","LUNCH",VLOOKUP(AJ51,'Busking Places'!$A$3:$B$31,2,0))</f>
        <v>Butt Green</v>
      </c>
    </row>
    <row r="52" spans="1:43" ht="21">
      <c r="A52" s="11" t="s">
        <v>874</v>
      </c>
      <c r="B52" s="9">
        <v>12</v>
      </c>
      <c r="C52" s="9" t="s">
        <v>1057</v>
      </c>
      <c r="D52" s="9" t="s">
        <v>1298</v>
      </c>
      <c r="E52" s="11" t="s">
        <v>1299</v>
      </c>
      <c r="F52" s="191" t="s">
        <v>1300</v>
      </c>
      <c r="H52" s="9" t="s">
        <v>1301</v>
      </c>
      <c r="J52" s="96"/>
      <c r="K52" s="9" t="s">
        <v>1091</v>
      </c>
      <c r="O52" s="190">
        <v>41701</v>
      </c>
      <c r="P52" s="9">
        <f>IF(ISERROR(FIND(P$2,$C52)),0,$B52)</f>
        <v>12</v>
      </c>
      <c r="Q52" s="9">
        <f>IF(ISERROR(FIND(Q$2,$C52)),0,$B52)</f>
        <v>0</v>
      </c>
      <c r="R52" s="9">
        <f>IF(ISERROR(FIND(R$2,$C52)),0,$B52)</f>
        <v>0</v>
      </c>
      <c r="S52" s="63">
        <f>IF(ISERROR(FIND(S$2,$C52)),0,1)</f>
        <v>1</v>
      </c>
      <c r="T52" s="63">
        <f>IF(ISERROR(FIND(T$2,$C52)),0,1)</f>
        <v>0</v>
      </c>
      <c r="U52" s="63">
        <f>IF(ISERROR(FIND(U$2,$C52)),0,1)</f>
        <v>0</v>
      </c>
      <c r="V52" s="9">
        <f>IF(ISERROR(FIND(LEFT(V$2,1),$D52)),0,1)</f>
        <v>0</v>
      </c>
      <c r="W52" s="9">
        <f>IF(ISERROR(FIND(LEFT(W$2,1),$D52)),0,1)</f>
        <v>0</v>
      </c>
      <c r="X52" s="9">
        <f>IF(ISERROR(FIND(LEFT(X$2,1),$D52)),0,1)</f>
        <v>1</v>
      </c>
      <c r="Y52" s="9">
        <f>IF(ISERROR(FIND(LEFT(Y$2,1),$D52)),0,1)</f>
        <v>0</v>
      </c>
      <c r="Z52" s="9">
        <f>IF(ISERROR(FIND(LEFT(Z$2,1),$D52)),0,1)</f>
        <v>0</v>
      </c>
      <c r="AA52" s="9">
        <f>IF(ISERROR(FIND(LEFT(AA$2,1),$D52)),0,1)</f>
        <v>1</v>
      </c>
      <c r="AB52" s="9">
        <f>IF(ISERROR(FIND(LEFT(AB$2,1),$D52)),0,1)</f>
        <v>0</v>
      </c>
      <c r="AD52" s="16" t="s">
        <v>1080</v>
      </c>
      <c r="AE52" s="109">
        <v>18</v>
      </c>
      <c r="AF52" s="105">
        <f>IF(AE52="L",VLOOKUP(AD52,'Busking Places'!$N$9:$R$28,IF($AD52="w",3,IF($AD52="c",4,IF($AD52="s",5,0)))),IF(AND(ROW(AF52)-COLUMN(AF52)=ODD(ROW(AF52)-COLUMN(AF52)),COLUMN(AF52)&gt;32,COLUMN(AF52)&lt;35),"L",VLOOKUP(AE52,'Busking Places'!$N$9:$R$28,IF($AD52="w",3,IF($AD52="c",4,IF($AD52="s",5,0))))))</f>
        <v>16</v>
      </c>
      <c r="AG52" s="105" t="str">
        <f>IF(AF52="L",VLOOKUP(AE52,'Busking Places'!$N$9:$R$28,IF($AD52="w",3,IF($AD52="c",4,IF($AD52="s",5,0)))),IF(AND(ROW(AG52)-COLUMN(AG52)=ODD(ROW(AG52)-COLUMN(AG52)),COLUMN(AG52)&gt;32,COLUMN(AG52)&lt;35),"L",VLOOKUP(AF52,'Busking Places'!$N$9:$R$28,IF($AD52="w",3,IF($AD52="c",4,IF($AD52="s",5,0))))))</f>
        <v>L</v>
      </c>
      <c r="AH52" s="105">
        <f>IF(AG52="L",VLOOKUP(AF52,'Busking Places'!$N$9:$R$28,IF($AD52="w",3,IF($AD52="c",4,IF($AD52="s",5,0)))),IF(AND(ROW(AH52)-COLUMN(AH52)=ODD(ROW(AH52)-COLUMN(AH52)),COLUMN(AH52)&gt;32,COLUMN(AH52)&lt;35),"L",VLOOKUP(AG52,'Busking Places'!$N$9:$R$28,IF($AD52="w",3,IF($AD52="c",4,IF($AD52="s",5,0))))))</f>
        <v>14</v>
      </c>
      <c r="AI52" s="105">
        <f>IF(AH52="L",VLOOKUP(AG52,'Busking Places'!$N$9:$R$28,IF($AD52="w",3,IF($AD52="c",4,IF($AD52="s",5,0)))),IF(AND(ROW(AI52)-COLUMN(AI52)=ODD(ROW(AI52)-COLUMN(AI52)),COLUMN(AI52)&gt;32,COLUMN(AI52)&lt;35),"L",VLOOKUP(AH52,'Busking Places'!$N$9:$R$28,IF($AD52="w",3,IF($AD52="c",4,IF($AD52="s",5,0))))))</f>
        <v>12</v>
      </c>
      <c r="AJ52" s="105">
        <f>IF(AI52="L",VLOOKUP(AH52,'Busking Places'!$N$9:$R$28,IF($AD52="w",3,IF($AD52="c",4,IF($AD52="s",5,0)))),IF(AND(ROW(AJ52)-COLUMN(AJ52)=ODD(ROW(AJ52)-COLUMN(AJ52)),COLUMN(AJ52)&gt;32,COLUMN(AJ52)&lt;35),"L",VLOOKUP(AI52,'Busking Places'!$N$9:$R$28,IF($AD52="w",3,IF($AD52="c",4,IF($AD52="s",5,0))))))</f>
        <v>10</v>
      </c>
      <c r="AL52" s="96" t="str">
        <f>IF(AE52="L","LUNCH",VLOOKUP(AE52,'Busking Places'!$A$3:$B$31,2,0))</f>
        <v>Guildhall, Mkt. Hill</v>
      </c>
      <c r="AM52" s="96" t="str">
        <f>IF(AF52="L","LUNCH",VLOOKUP(AF52,'Busking Places'!$A$3:$B$31,2,0))</f>
        <v>Regent Terrace, N</v>
      </c>
      <c r="AN52" s="96" t="str">
        <f>IF(AG52="L","LUNCH",VLOOKUP(AG52,'Busking Places'!$A$3:$B$31,2,0))</f>
        <v>LUNCH</v>
      </c>
      <c r="AO52" s="96" t="str">
        <f>IF(AH52="L","LUNCH",VLOOKUP(AH52,'Busking Places'!$A$3:$B$31,2,0))</f>
        <v>Mawson Road</v>
      </c>
      <c r="AP52" s="96" t="str">
        <f>IF(AI52="L","LUNCH",VLOOKUP(AI52,'Busking Places'!$A$3:$B$31,2,0))</f>
        <v>The Cambridge Blue</v>
      </c>
      <c r="AQ52" s="96" t="str">
        <f>IF(AJ52="L","LUNCH",VLOOKUP(AJ52,'Busking Places'!$A$3:$B$31,2,0))</f>
        <v>The Tram Depot</v>
      </c>
    </row>
    <row r="53" spans="1:43" ht="24.75" customHeight="1">
      <c r="A53" s="11" t="s">
        <v>867</v>
      </c>
      <c r="B53" s="9">
        <v>12</v>
      </c>
      <c r="C53" s="9" t="s">
        <v>1059</v>
      </c>
      <c r="D53" s="9" t="s">
        <v>1302</v>
      </c>
      <c r="E53" s="11" t="s">
        <v>1303</v>
      </c>
      <c r="F53" s="191" t="s">
        <v>424</v>
      </c>
      <c r="H53" s="9" t="s">
        <v>1304</v>
      </c>
      <c r="J53" s="96"/>
      <c r="K53" s="9" t="s">
        <v>1085</v>
      </c>
      <c r="L53" s="11" t="s">
        <v>1305</v>
      </c>
      <c r="M53" s="205" t="s">
        <v>1306</v>
      </c>
      <c r="O53" s="190">
        <v>41712</v>
      </c>
      <c r="P53" s="9">
        <f>IF(ISERROR(FIND(P$2,$C53)),0,$B53)</f>
        <v>0</v>
      </c>
      <c r="Q53" s="9">
        <f>IF(ISERROR(FIND(Q$2,$C53)),0,$B53)</f>
        <v>0</v>
      </c>
      <c r="R53" s="9">
        <f>IF(ISERROR(FIND(R$2,$C53)),0,$B53)</f>
        <v>12</v>
      </c>
      <c r="S53" s="63">
        <f>IF(ISERROR(FIND(S$2,$C53)),0,1)</f>
        <v>0</v>
      </c>
      <c r="T53" s="63">
        <f>IF(ISERROR(FIND(T$2,$C53)),0,1)</f>
        <v>0</v>
      </c>
      <c r="U53" s="63">
        <f>IF(ISERROR(FIND(U$2,$C53)),0,1)</f>
        <v>1</v>
      </c>
      <c r="V53" s="9">
        <f>IF(ISERROR(FIND(LEFT(V$2,1),$D53)),0,1)</f>
        <v>0</v>
      </c>
      <c r="W53" s="9">
        <f>IF(ISERROR(FIND(LEFT(W$2,1),$D53)),0,1)</f>
        <v>0</v>
      </c>
      <c r="X53" s="9">
        <f>IF(ISERROR(FIND(LEFT(X$2,1),$D53)),0,1)</f>
        <v>0</v>
      </c>
      <c r="Y53" s="9">
        <f>IF(ISERROR(FIND(LEFT(Y$2,1),$D53)),0,1)</f>
        <v>1</v>
      </c>
      <c r="Z53" s="9">
        <f>IF(ISERROR(FIND(LEFT(Z$2,1),$D53)),0,1)</f>
        <v>0</v>
      </c>
      <c r="AA53" s="9">
        <f>IF(ISERROR(FIND(LEFT(AA$2,1),$D53)),0,1)</f>
        <v>0</v>
      </c>
      <c r="AB53" s="9">
        <f>IF(ISERROR(FIND(LEFT(AB$2,1),$D53)),0,1)</f>
        <v>0</v>
      </c>
      <c r="AD53" s="16" t="s">
        <v>1121</v>
      </c>
      <c r="AE53" s="109">
        <v>11</v>
      </c>
      <c r="AF53" s="105">
        <f>IF(AE53="L",VLOOKUP(AD53,'Busking Places'!$N$9:$R$28,IF($AD53="w",3,IF($AD53="c",4,IF($AD53="s",5,0)))),IF(AND(ROW(AF53)-COLUMN(AF53)=ODD(ROW(AF53)-COLUMN(AF53)),COLUMN(AF53)&gt;32,COLUMN(AF53)&lt;35),"L",VLOOKUP(AE53,'Busking Places'!$N$9:$R$28,IF($AD53="w",3,IF($AD53="c",4,IF($AD53="s",5,0))))))</f>
        <v>12</v>
      </c>
      <c r="AG53" s="105">
        <f>IF(AF53="L",VLOOKUP(AE53,'Busking Places'!$N$9:$R$28,IF($AD53="w",3,IF($AD53="c",4,IF($AD53="s",5,0)))),IF(AND(ROW(AG53)-COLUMN(AG53)=ODD(ROW(AG53)-COLUMN(AG53)),COLUMN(AG53)&gt;32,COLUMN(AG53)&lt;35),"L",VLOOKUP(AF53,'Busking Places'!$N$9:$R$28,IF($AD53="w",3,IF($AD53="c",4,IF($AD53="s",5,0))))))</f>
        <v>13</v>
      </c>
      <c r="AH53" s="105" t="str">
        <f>IF(AG53="L",VLOOKUP(AF53,'Busking Places'!$N$9:$R$28,IF($AD53="w",3,IF($AD53="c",4,IF($AD53="s",5,0)))),IF(AND(ROW(AH53)-COLUMN(AH53)=ODD(ROW(AH53)-COLUMN(AH53)),COLUMN(AH53)&gt;32,COLUMN(AH53)&lt;35),"L",VLOOKUP(AG53,'Busking Places'!$N$9:$R$28,IF($AD53="w",3,IF($AD53="c",4,IF($AD53="s",5,0))))))</f>
        <v>L</v>
      </c>
      <c r="AI53" s="105">
        <f>IF(AH53="L",VLOOKUP(AG53,'Busking Places'!$N$9:$R$28,IF($AD53="w",3,IF($AD53="c",4,IF($AD53="s",5,0)))),IF(AND(ROW(AI53)-COLUMN(AI53)=ODD(ROW(AI53)-COLUMN(AI53)),COLUMN(AI53)&gt;32,COLUMN(AI53)&lt;35),"L",VLOOKUP(AH53,'Busking Places'!$N$9:$R$28,IF($AD53="w",3,IF($AD53="c",4,IF($AD53="s",5,0))))))</f>
        <v>14</v>
      </c>
      <c r="AJ53" s="105">
        <f>IF(AI53="L",VLOOKUP(AH53,'Busking Places'!$N$9:$R$28,IF($AD53="w",3,IF($AD53="c",4,IF($AD53="s",5,0)))),IF(AND(ROW(AJ53)-COLUMN(AJ53)=ODD(ROW(AJ53)-COLUMN(AJ53)),COLUMN(AJ53)&gt;32,COLUMN(AJ53)&lt;35),"L",VLOOKUP(AI53,'Busking Places'!$N$9:$R$28,IF($AD53="w",3,IF($AD53="c",4,IF($AD53="s",5,0))))))</f>
        <v>15</v>
      </c>
      <c r="AL53" s="96" t="str">
        <f>IF(AE53="L","LUNCH",VLOOKUP(AE53,'Busking Places'!$A$3:$B$31,2,0))</f>
        <v>Alexandra Arms</v>
      </c>
      <c r="AM53" s="96" t="str">
        <f>IF(AF53="L","LUNCH",VLOOKUP(AF53,'Busking Places'!$A$3:$B$31,2,0))</f>
        <v>The Cambridge Blue</v>
      </c>
      <c r="AN53" s="96" t="str">
        <f>IF(AG53="L","LUNCH",VLOOKUP(AG53,'Busking Places'!$A$3:$B$31,2,0))</f>
        <v>Covent Garden</v>
      </c>
      <c r="AO53" s="96" t="str">
        <f>IF(AH53="L","LUNCH",VLOOKUP(AH53,'Busking Places'!$A$3:$B$31,2,0))</f>
        <v>LUNCH</v>
      </c>
      <c r="AP53" s="96" t="str">
        <f>IF(AI53="L","LUNCH",VLOOKUP(AI53,'Busking Places'!$A$3:$B$31,2,0))</f>
        <v>Mawson Road</v>
      </c>
      <c r="AQ53" s="96" t="str">
        <f>IF(AJ53="L","LUNCH",VLOOKUP(AJ53,'Busking Places'!$A$3:$B$31,2,0))</f>
        <v>Regent Terrace, S</v>
      </c>
    </row>
    <row r="54" spans="1:43" ht="12.75">
      <c r="A54" s="11" t="s">
        <v>887</v>
      </c>
      <c r="B54" s="9">
        <v>20</v>
      </c>
      <c r="C54" s="9" t="s">
        <v>1059</v>
      </c>
      <c r="D54" s="9" t="s">
        <v>1302</v>
      </c>
      <c r="E54" s="11" t="s">
        <v>1307</v>
      </c>
      <c r="F54" s="191" t="s">
        <v>1308</v>
      </c>
      <c r="G54" s="9" t="s">
        <v>1309</v>
      </c>
      <c r="H54" s="9" t="s">
        <v>1310</v>
      </c>
      <c r="J54" s="96"/>
      <c r="K54" s="9" t="s">
        <v>907</v>
      </c>
      <c r="L54" s="11" t="s">
        <v>1311</v>
      </c>
      <c r="M54" s="11" t="s">
        <v>1312</v>
      </c>
      <c r="O54" s="190">
        <v>41713</v>
      </c>
      <c r="P54" s="9">
        <f>IF(ISERROR(FIND(P$2,$C54)),0,$B54)</f>
        <v>0</v>
      </c>
      <c r="Q54" s="9">
        <f>IF(ISERROR(FIND(Q$2,$C54)),0,$B54)</f>
        <v>0</v>
      </c>
      <c r="R54" s="9">
        <f>IF(ISERROR(FIND(R$2,$C54)),0,$B54)</f>
        <v>20</v>
      </c>
      <c r="S54" s="63">
        <f>IF(ISERROR(FIND(S$2,$C54)),0,1)</f>
        <v>0</v>
      </c>
      <c r="T54" s="63">
        <f>IF(ISERROR(FIND(T$2,$C54)),0,1)</f>
        <v>0</v>
      </c>
      <c r="U54" s="63">
        <f>IF(ISERROR(FIND(U$2,$C54)),0,1)</f>
        <v>1</v>
      </c>
      <c r="V54" s="9">
        <f>IF(ISERROR(FIND(LEFT(V$2,1),$D54)),0,1)</f>
        <v>0</v>
      </c>
      <c r="W54" s="9">
        <f>IF(ISERROR(FIND(LEFT(W$2,1),$D54)),0,1)</f>
        <v>0</v>
      </c>
      <c r="X54" s="9">
        <f>IF(ISERROR(FIND(LEFT(X$2,1),$D54)),0,1)</f>
        <v>0</v>
      </c>
      <c r="Y54" s="9">
        <f>IF(ISERROR(FIND(LEFT(Y$2,1),$D54)),0,1)</f>
        <v>1</v>
      </c>
      <c r="Z54" s="9">
        <f>IF(ISERROR(FIND(LEFT(Z$2,1),$D54)),0,1)</f>
        <v>0</v>
      </c>
      <c r="AA54" s="9">
        <f>IF(ISERROR(FIND(LEFT(AA$2,1),$D54)),0,1)</f>
        <v>0</v>
      </c>
      <c r="AB54" s="9">
        <f>IF(ISERROR(FIND(LEFT(AB$2,1),$D54)),0,1)</f>
        <v>0</v>
      </c>
      <c r="AD54" s="16" t="s">
        <v>1121</v>
      </c>
      <c r="AE54" s="109">
        <v>12</v>
      </c>
      <c r="AF54" s="105">
        <f>IF(AE54="L",VLOOKUP(AD54,'Busking Places'!$N$9:$R$28,IF($AD54="w",3,IF($AD54="c",4,IF($AD54="s",5,0)))),IF(AND(ROW(AF54)-COLUMN(AF54)=ODD(ROW(AF54)-COLUMN(AF54)),COLUMN(AF54)&gt;32,COLUMN(AF54)&lt;35),"L",VLOOKUP(AE54,'Busking Places'!$N$9:$R$28,IF($AD54="w",3,IF($AD54="c",4,IF($AD54="s",5,0))))))</f>
        <v>13</v>
      </c>
      <c r="AG54" s="105" t="str">
        <f>IF(AF54="L",VLOOKUP(AE54,'Busking Places'!$N$9:$R$28,IF($AD54="w",3,IF($AD54="c",4,IF($AD54="s",5,0)))),IF(AND(ROW(AG54)-COLUMN(AG54)=ODD(ROW(AG54)-COLUMN(AG54)),COLUMN(AG54)&gt;32,COLUMN(AG54)&lt;35),"L",VLOOKUP(AF54,'Busking Places'!$N$9:$R$28,IF($AD54="w",3,IF($AD54="c",4,IF($AD54="s",5,0))))))</f>
        <v>L</v>
      </c>
      <c r="AH54" s="105">
        <f>IF(AG54="L",VLOOKUP(AF54,'Busking Places'!$N$9:$R$28,IF($AD54="w",3,IF($AD54="c",4,IF($AD54="s",5,0)))),IF(AND(ROW(AH54)-COLUMN(AH54)=ODD(ROW(AH54)-COLUMN(AH54)),COLUMN(AH54)&gt;32,COLUMN(AH54)&lt;35),"L",VLOOKUP(AG54,'Busking Places'!$N$9:$R$28,IF($AD54="w",3,IF($AD54="c",4,IF($AD54="s",5,0))))))</f>
        <v>14</v>
      </c>
      <c r="AI54" s="105">
        <f>IF(AH54="L",VLOOKUP(AG54,'Busking Places'!$N$9:$R$28,IF($AD54="w",3,IF($AD54="c",4,IF($AD54="s",5,0)))),IF(AND(ROW(AI54)-COLUMN(AI54)=ODD(ROW(AI54)-COLUMN(AI54)),COLUMN(AI54)&gt;32,COLUMN(AI54)&lt;35),"L",VLOOKUP(AH54,'Busking Places'!$N$9:$R$28,IF($AD54="w",3,IF($AD54="c",4,IF($AD54="s",5,0))))))</f>
        <v>15</v>
      </c>
      <c r="AJ54" s="105">
        <f>IF(AI54="L",VLOOKUP(AH54,'Busking Places'!$N$9:$R$28,IF($AD54="w",3,IF($AD54="c",4,IF($AD54="s",5,0)))),IF(AND(ROW(AJ54)-COLUMN(AJ54)=ODD(ROW(AJ54)-COLUMN(AJ54)),COLUMN(AJ54)&gt;32,COLUMN(AJ54)&lt;35),"L",VLOOKUP(AI54,'Busking Places'!$N$9:$R$28,IF($AD54="w",3,IF($AD54="c",4,IF($AD54="s",5,0))))))</f>
        <v>16</v>
      </c>
      <c r="AL54" s="96" t="str">
        <f>IF(AE54="L","LUNCH",VLOOKUP(AE54,'Busking Places'!$A$3:$B$31,2,0))</f>
        <v>The Cambridge Blue</v>
      </c>
      <c r="AM54" s="96" t="str">
        <f>IF(AF54="L","LUNCH",VLOOKUP(AF54,'Busking Places'!$A$3:$B$31,2,0))</f>
        <v>Covent Garden</v>
      </c>
      <c r="AN54" s="96" t="str">
        <f>IF(AG54="L","LUNCH",VLOOKUP(AG54,'Busking Places'!$A$3:$B$31,2,0))</f>
        <v>LUNCH</v>
      </c>
      <c r="AO54" s="96" t="str">
        <f>IF(AH54="L","LUNCH",VLOOKUP(AH54,'Busking Places'!$A$3:$B$31,2,0))</f>
        <v>Mawson Road</v>
      </c>
      <c r="AP54" s="96" t="str">
        <f>IF(AI54="L","LUNCH",VLOOKUP(AI54,'Busking Places'!$A$3:$B$31,2,0))</f>
        <v>Regent Terrace, S</v>
      </c>
      <c r="AQ54" s="96" t="str">
        <f>IF(AJ54="L","LUNCH",VLOOKUP(AJ54,'Busking Places'!$A$3:$B$31,2,0))</f>
        <v>Regent Terrace, N</v>
      </c>
    </row>
    <row r="55" spans="1:43" ht="24.75">
      <c r="A55" s="65" t="s">
        <v>848</v>
      </c>
      <c r="B55" s="9">
        <v>10</v>
      </c>
      <c r="C55" s="9" t="s">
        <v>1057</v>
      </c>
      <c r="D55" s="9" t="s">
        <v>907</v>
      </c>
      <c r="E55" s="11" t="s">
        <v>1313</v>
      </c>
      <c r="F55" s="191" t="s">
        <v>1314</v>
      </c>
      <c r="H55" s="9" t="s">
        <v>1315</v>
      </c>
      <c r="J55" s="96"/>
      <c r="K55" s="9" t="s">
        <v>907</v>
      </c>
      <c r="L55" s="11" t="s">
        <v>1316</v>
      </c>
      <c r="O55" s="190">
        <v>41701</v>
      </c>
      <c r="P55" s="9">
        <f>IF(ISERROR(FIND(P$2,$C55)),0,$B55)</f>
        <v>10</v>
      </c>
      <c r="Q55" s="9">
        <f>IF(ISERROR(FIND(Q$2,$C55)),0,$B55)</f>
        <v>0</v>
      </c>
      <c r="R55" s="9">
        <f>IF(ISERROR(FIND(R$2,$C55)),0,$B55)</f>
        <v>0</v>
      </c>
      <c r="S55" s="63">
        <f>IF(ISERROR(FIND(S$2,$C55)),0,1)</f>
        <v>1</v>
      </c>
      <c r="T55" s="63">
        <f>IF(ISERROR(FIND(T$2,$C55)),0,1)</f>
        <v>0</v>
      </c>
      <c r="U55" s="63">
        <f>IF(ISERROR(FIND(U$2,$C55)),0,1)</f>
        <v>0</v>
      </c>
      <c r="V55" s="9">
        <f>IF(ISERROR(FIND(LEFT(V$2,1),$D55)),0,1)</f>
        <v>0</v>
      </c>
      <c r="W55" s="9">
        <f>IF(ISERROR(FIND(LEFT(W$2,1),$D55)),0,1)</f>
        <v>0</v>
      </c>
      <c r="X55" s="9">
        <f>IF(ISERROR(FIND(LEFT(X$2,1),$D55)),0,1)</f>
        <v>0</v>
      </c>
      <c r="Y55" s="9">
        <f>IF(ISERROR(FIND(LEFT(Y$2,1),$D55)),0,1)</f>
        <v>0</v>
      </c>
      <c r="Z55" s="9">
        <f>IF(ISERROR(FIND(LEFT(Z$2,1),$D55)),0,1)</f>
        <v>1</v>
      </c>
      <c r="AA55" s="9">
        <f>IF(ISERROR(FIND(LEFT(AA$2,1),$D55)),0,1)</f>
        <v>0</v>
      </c>
      <c r="AB55" s="9">
        <f>IF(ISERROR(FIND(LEFT(AB$2,1),$D55)),0,1)</f>
        <v>0</v>
      </c>
      <c r="AD55" s="16" t="s">
        <v>1121</v>
      </c>
      <c r="AE55" s="109">
        <v>13</v>
      </c>
      <c r="AF55" s="105">
        <f>IF(AE55="L",VLOOKUP(AD55,'Busking Places'!$N$9:$R$28,IF($AD55="w",3,IF($AD55="c",4,IF($AD55="s",5,0)))),IF(AND(ROW(AF55)-COLUMN(AF55)=ODD(ROW(AF55)-COLUMN(AF55)),COLUMN(AF55)&gt;32,COLUMN(AF55)&lt;35),"L",VLOOKUP(AE55,'Busking Places'!$N$9:$R$28,IF($AD55="w",3,IF($AD55="c",4,IF($AD55="s",5,0))))))</f>
        <v>14</v>
      </c>
      <c r="AG55" s="105">
        <f>IF(AF55="L",VLOOKUP(AE55,'Busking Places'!$N$9:$R$28,IF($AD55="w",3,IF($AD55="c",4,IF($AD55="s",5,0)))),IF(AND(ROW(AG55)-COLUMN(AG55)=ODD(ROW(AG55)-COLUMN(AG55)),COLUMN(AG55)&gt;32,COLUMN(AG55)&lt;35),"L",VLOOKUP(AF55,'Busking Places'!$N$9:$R$28,IF($AD55="w",3,IF($AD55="c",4,IF($AD55="s",5,0))))))</f>
        <v>15</v>
      </c>
      <c r="AH55" s="105" t="str">
        <f>IF(AG55="L",VLOOKUP(AF55,'Busking Places'!$N$9:$R$28,IF($AD55="w",3,IF($AD55="c",4,IF($AD55="s",5,0)))),IF(AND(ROW(AH55)-COLUMN(AH55)=ODD(ROW(AH55)-COLUMN(AH55)),COLUMN(AH55)&gt;32,COLUMN(AH55)&lt;35),"L",VLOOKUP(AG55,'Busking Places'!$N$9:$R$28,IF($AD55="w",3,IF($AD55="c",4,IF($AD55="s",5,0))))))</f>
        <v>L</v>
      </c>
      <c r="AI55" s="105">
        <f>IF(AH55="L",VLOOKUP(AG55,'Busking Places'!$N$9:$R$28,IF($AD55="w",3,IF($AD55="c",4,IF($AD55="s",5,0)))),IF(AND(ROW(AI55)-COLUMN(AI55)=ODD(ROW(AI55)-COLUMN(AI55)),COLUMN(AI55)&gt;32,COLUMN(AI55)&lt;35),"L",VLOOKUP(AH55,'Busking Places'!$N$9:$R$28,IF($AD55="w",3,IF($AD55="c",4,IF($AD55="s",5,0))))))</f>
        <v>16</v>
      </c>
      <c r="AJ55" s="105">
        <f>IF(AI55="L",VLOOKUP(AH55,'Busking Places'!$N$9:$R$28,IF($AD55="w",3,IF($AD55="c",4,IF($AD55="s",5,0)))),IF(AND(ROW(AJ55)-COLUMN(AJ55)=ODD(ROW(AJ55)-COLUMN(AJ55)),COLUMN(AJ55)&gt;32,COLUMN(AJ55)&lt;35),"L",VLOOKUP(AI55,'Busking Places'!$N$9:$R$28,IF($AD55="w",3,IF($AD55="c",4,IF($AD55="s",5,0))))))</f>
        <v>17</v>
      </c>
      <c r="AL55" s="96" t="str">
        <f>IF(AE55="L","LUNCH",VLOOKUP(AE55,'Busking Places'!$A$3:$B$31,2,0))</f>
        <v>Covent Garden</v>
      </c>
      <c r="AM55" s="96" t="str">
        <f>IF(AF55="L","LUNCH",VLOOKUP(AF55,'Busking Places'!$A$3:$B$31,2,0))</f>
        <v>Mawson Road</v>
      </c>
      <c r="AN55" s="96" t="str">
        <f>IF(AG55="L","LUNCH",VLOOKUP(AG55,'Busking Places'!$A$3:$B$31,2,0))</f>
        <v>Regent Terrace, S</v>
      </c>
      <c r="AO55" s="96" t="str">
        <f>IF(AH55="L","LUNCH",VLOOKUP(AH55,'Busking Places'!$A$3:$B$31,2,0))</f>
        <v>LUNCH</v>
      </c>
      <c r="AP55" s="96" t="str">
        <f>IF(AI55="L","LUNCH",VLOOKUP(AI55,'Busking Places'!$A$3:$B$31,2,0))</f>
        <v>Regent Terrace, N</v>
      </c>
      <c r="AQ55" s="96" t="str">
        <f>IF(AJ55="L","LUNCH",VLOOKUP(AJ55,'Busking Places'!$A$3:$B$31,2,0))</f>
        <v>Laundress Green</v>
      </c>
    </row>
    <row r="56" spans="1:43" ht="12.75">
      <c r="A56" s="11" t="s">
        <v>850</v>
      </c>
      <c r="B56" s="9">
        <v>15</v>
      </c>
      <c r="C56" s="9" t="s">
        <v>1057</v>
      </c>
      <c r="D56" s="9" t="s">
        <v>907</v>
      </c>
      <c r="E56" s="11" t="s">
        <v>1317</v>
      </c>
      <c r="F56" s="191" t="s">
        <v>1318</v>
      </c>
      <c r="H56" s="9" t="s">
        <v>1319</v>
      </c>
      <c r="J56" s="96"/>
      <c r="K56" s="9" t="s">
        <v>907</v>
      </c>
      <c r="O56" s="190">
        <v>41701</v>
      </c>
      <c r="P56" s="9">
        <f>IF(ISERROR(FIND(P$2,$C56)),0,$B56)</f>
        <v>15</v>
      </c>
      <c r="Q56" s="9">
        <f>IF(ISERROR(FIND(Q$2,$C56)),0,$B56)</f>
        <v>0</v>
      </c>
      <c r="R56" s="9">
        <f>IF(ISERROR(FIND(R$2,$C56)),0,$B56)</f>
        <v>0</v>
      </c>
      <c r="S56" s="63">
        <f>IF(ISERROR(FIND(S$2,$C56)),0,1)</f>
        <v>1</v>
      </c>
      <c r="T56" s="63">
        <f>IF(ISERROR(FIND(T$2,$C56)),0,1)</f>
        <v>0</v>
      </c>
      <c r="U56" s="63">
        <f>IF(ISERROR(FIND(U$2,$C56)),0,1)</f>
        <v>0</v>
      </c>
      <c r="V56" s="9">
        <f>IF(ISERROR(FIND(LEFT(V$2,1),$D56)),0,1)</f>
        <v>0</v>
      </c>
      <c r="W56" s="9">
        <f>IF(ISERROR(FIND(LEFT(W$2,1),$D56)),0,1)</f>
        <v>0</v>
      </c>
      <c r="X56" s="9">
        <f>IF(ISERROR(FIND(LEFT(X$2,1),$D56)),0,1)</f>
        <v>0</v>
      </c>
      <c r="Y56" s="9">
        <f>IF(ISERROR(FIND(LEFT(Y$2,1),$D56)),0,1)</f>
        <v>0</v>
      </c>
      <c r="Z56" s="9">
        <f>IF(ISERROR(FIND(LEFT(Z$2,1),$D56)),0,1)</f>
        <v>1</v>
      </c>
      <c r="AA56" s="9">
        <f>IF(ISERROR(FIND(LEFT(AA$2,1),$D56)),0,1)</f>
        <v>0</v>
      </c>
      <c r="AB56" s="9">
        <f>IF(ISERROR(FIND(LEFT(AB$2,1),$D56)),0,1)</f>
        <v>0</v>
      </c>
      <c r="AD56" s="16" t="s">
        <v>1121</v>
      </c>
      <c r="AE56" s="109">
        <v>14</v>
      </c>
      <c r="AF56" s="105">
        <f>IF(AE56="L",VLOOKUP(AD56,'Busking Places'!$N$9:$R$28,IF($AD56="w",3,IF($AD56="c",4,IF($AD56="s",5,0)))),IF(AND(ROW(AF56)-COLUMN(AF56)=ODD(ROW(AF56)-COLUMN(AF56)),COLUMN(AF56)&gt;32,COLUMN(AF56)&lt;35),"L",VLOOKUP(AE56,'Busking Places'!$N$9:$R$28,IF($AD56="w",3,IF($AD56="c",4,IF($AD56="s",5,0))))))</f>
        <v>15</v>
      </c>
      <c r="AG56" s="105" t="str">
        <f>IF(AF56="L",VLOOKUP(AE56,'Busking Places'!$N$9:$R$28,IF($AD56="w",3,IF($AD56="c",4,IF($AD56="s",5,0)))),IF(AND(ROW(AG56)-COLUMN(AG56)=ODD(ROW(AG56)-COLUMN(AG56)),COLUMN(AG56)&gt;32,COLUMN(AG56)&lt;35),"L",VLOOKUP(AF56,'Busking Places'!$N$9:$R$28,IF($AD56="w",3,IF($AD56="c",4,IF($AD56="s",5,0))))))</f>
        <v>L</v>
      </c>
      <c r="AH56" s="105">
        <f>IF(AG56="L",VLOOKUP(AF56,'Busking Places'!$N$9:$R$28,IF($AD56="w",3,IF($AD56="c",4,IF($AD56="s",5,0)))),IF(AND(ROW(AH56)-COLUMN(AH56)=ODD(ROW(AH56)-COLUMN(AH56)),COLUMN(AH56)&gt;32,COLUMN(AH56)&lt;35),"L",VLOOKUP(AG56,'Busking Places'!$N$9:$R$28,IF($AD56="w",3,IF($AD56="c",4,IF($AD56="s",5,0))))))</f>
        <v>16</v>
      </c>
      <c r="AI56" s="105">
        <f>IF(AH56="L",VLOOKUP(AG56,'Busking Places'!$N$9:$R$28,IF($AD56="w",3,IF($AD56="c",4,IF($AD56="s",5,0)))),IF(AND(ROW(AI56)-COLUMN(AI56)=ODD(ROW(AI56)-COLUMN(AI56)),COLUMN(AI56)&gt;32,COLUMN(AI56)&lt;35),"L",VLOOKUP(AH56,'Busking Places'!$N$9:$R$28,IF($AD56="w",3,IF($AD56="c",4,IF($AD56="s",5,0))))))</f>
        <v>17</v>
      </c>
      <c r="AJ56" s="105">
        <f>IF(AI56="L",VLOOKUP(AH56,'Busking Places'!$N$9:$R$28,IF($AD56="w",3,IF($AD56="c",4,IF($AD56="s",5,0)))),IF(AND(ROW(AJ56)-COLUMN(AJ56)=ODD(ROW(AJ56)-COLUMN(AJ56)),COLUMN(AJ56)&gt;32,COLUMN(AJ56)&lt;35),"L",VLOOKUP(AI56,'Busking Places'!$N$9:$R$28,IF($AD56="w",3,IF($AD56="c",4,IF($AD56="s",5,0))))))</f>
        <v>18</v>
      </c>
      <c r="AL56" s="96" t="str">
        <f>IF(AE56="L","LUNCH",VLOOKUP(AE56,'Busking Places'!$A$3:$B$31,2,0))</f>
        <v>Mawson Road</v>
      </c>
      <c r="AM56" s="96" t="str">
        <f>IF(AF56="L","LUNCH",VLOOKUP(AF56,'Busking Places'!$A$3:$B$31,2,0))</f>
        <v>Regent Terrace, S</v>
      </c>
      <c r="AN56" s="96" t="str">
        <f>IF(AG56="L","LUNCH",VLOOKUP(AG56,'Busking Places'!$A$3:$B$31,2,0))</f>
        <v>LUNCH</v>
      </c>
      <c r="AO56" s="96" t="str">
        <f>IF(AH56="L","LUNCH",VLOOKUP(AH56,'Busking Places'!$A$3:$B$31,2,0))</f>
        <v>Regent Terrace, N</v>
      </c>
      <c r="AP56" s="96" t="str">
        <f>IF(AI56="L","LUNCH",VLOOKUP(AI56,'Busking Places'!$A$3:$B$31,2,0))</f>
        <v>Laundress Green</v>
      </c>
      <c r="AQ56" s="96" t="str">
        <f>IF(AJ56="L","LUNCH",VLOOKUP(AJ56,'Busking Places'!$A$3:$B$31,2,0))</f>
        <v>Guildhall, Mkt. Hill</v>
      </c>
    </row>
    <row r="57" spans="1:43" ht="12.75">
      <c r="A57" s="11" t="s">
        <v>853</v>
      </c>
      <c r="B57" s="9">
        <v>11</v>
      </c>
      <c r="C57" s="9" t="s">
        <v>1057</v>
      </c>
      <c r="D57" s="9" t="s">
        <v>907</v>
      </c>
      <c r="E57" s="11" t="s">
        <v>1320</v>
      </c>
      <c r="F57" s="191" t="s">
        <v>1321</v>
      </c>
      <c r="H57" s="9" t="s">
        <v>1322</v>
      </c>
      <c r="J57" s="96"/>
      <c r="K57" s="9" t="s">
        <v>1091</v>
      </c>
      <c r="M57" s="11" t="s">
        <v>1323</v>
      </c>
      <c r="O57" s="190">
        <v>41701</v>
      </c>
      <c r="P57" s="9">
        <f>IF(ISERROR(FIND(P$2,$C57)),0,$B57)</f>
        <v>11</v>
      </c>
      <c r="Q57" s="9">
        <f>IF(ISERROR(FIND(Q$2,$C57)),0,$B57)</f>
        <v>0</v>
      </c>
      <c r="R57" s="9">
        <f>IF(ISERROR(FIND(R$2,$C57)),0,$B57)</f>
        <v>0</v>
      </c>
      <c r="S57" s="63">
        <f>IF(ISERROR(FIND(S$2,$C57)),0,1)</f>
        <v>1</v>
      </c>
      <c r="T57" s="63">
        <f>IF(ISERROR(FIND(T$2,$C57)),0,1)</f>
        <v>0</v>
      </c>
      <c r="U57" s="63">
        <f>IF(ISERROR(FIND(U$2,$C57)),0,1)</f>
        <v>0</v>
      </c>
      <c r="V57" s="9">
        <f>IF(ISERROR(FIND(LEFT(V$2,1),$D57)),0,1)</f>
        <v>0</v>
      </c>
      <c r="W57" s="9">
        <f>IF(ISERROR(FIND(LEFT(W$2,1),$D57)),0,1)</f>
        <v>0</v>
      </c>
      <c r="X57" s="9">
        <f>IF(ISERROR(FIND(LEFT(X$2,1),$D57)),0,1)</f>
        <v>0</v>
      </c>
      <c r="Y57" s="9">
        <f>IF(ISERROR(FIND(LEFT(Y$2,1),$D57)),0,1)</f>
        <v>0</v>
      </c>
      <c r="Z57" s="9">
        <f>IF(ISERROR(FIND(LEFT(Z$2,1),$D57)),0,1)</f>
        <v>1</v>
      </c>
      <c r="AA57" s="9">
        <f>IF(ISERROR(FIND(LEFT(AA$2,1),$D57)),0,1)</f>
        <v>0</v>
      </c>
      <c r="AB57" s="9">
        <f>IF(ISERROR(FIND(LEFT(AB$2,1),$D57)),0,1)</f>
        <v>0</v>
      </c>
      <c r="AD57" s="16" t="s">
        <v>1121</v>
      </c>
      <c r="AE57" s="109">
        <v>15</v>
      </c>
      <c r="AF57" s="105">
        <f>IF(AE57="L",VLOOKUP(AD57,'Busking Places'!$N$9:$R$28,IF($AD57="w",3,IF($AD57="c",4,IF($AD57="s",5,0)))),IF(AND(ROW(AF57)-COLUMN(AF57)=ODD(ROW(AF57)-COLUMN(AF57)),COLUMN(AF57)&gt;32,COLUMN(AF57)&lt;35),"L",VLOOKUP(AE57,'Busking Places'!$N$9:$R$28,IF($AD57="w",3,IF($AD57="c",4,IF($AD57="s",5,0))))))</f>
        <v>16</v>
      </c>
      <c r="AG57" s="105">
        <f>IF(AF57="L",VLOOKUP(AE57,'Busking Places'!$N$9:$R$28,IF($AD57="w",3,IF($AD57="c",4,IF($AD57="s",5,0)))),IF(AND(ROW(AG57)-COLUMN(AG57)=ODD(ROW(AG57)-COLUMN(AG57)),COLUMN(AG57)&gt;32,COLUMN(AG57)&lt;35),"L",VLOOKUP(AF57,'Busking Places'!$N$9:$R$28,IF($AD57="w",3,IF($AD57="c",4,IF($AD57="s",5,0))))))</f>
        <v>17</v>
      </c>
      <c r="AH57" s="105" t="str">
        <f>IF(AG57="L",VLOOKUP(AF57,'Busking Places'!$N$9:$R$28,IF($AD57="w",3,IF($AD57="c",4,IF($AD57="s",5,0)))),IF(AND(ROW(AH57)-COLUMN(AH57)=ODD(ROW(AH57)-COLUMN(AH57)),COLUMN(AH57)&gt;32,COLUMN(AH57)&lt;35),"L",VLOOKUP(AG57,'Busking Places'!$N$9:$R$28,IF($AD57="w",3,IF($AD57="c",4,IF($AD57="s",5,0))))))</f>
        <v>L</v>
      </c>
      <c r="AI57" s="105">
        <f>IF(AH57="L",VLOOKUP(AG57,'Busking Places'!$N$9:$R$28,IF($AD57="w",3,IF($AD57="c",4,IF($AD57="s",5,0)))),IF(AND(ROW(AI57)-COLUMN(AI57)=ODD(ROW(AI57)-COLUMN(AI57)),COLUMN(AI57)&gt;32,COLUMN(AI57)&lt;35),"L",VLOOKUP(AH57,'Busking Places'!$N$9:$R$28,IF($AD57="w",3,IF($AD57="c",4,IF($AD57="s",5,0))))))</f>
        <v>18</v>
      </c>
      <c r="AJ57" s="125">
        <f>IF(AI57="L",VLOOKUP(AH57,'Busking Places'!$N$9:$R$28,IF($AD57="w",3,IF($AD57="c",4,IF($AD57="s",5,0)))),IF(AND(ROW(AJ57)-COLUMN(AJ57)=ODD(ROW(AJ57)-COLUMN(AJ57)),COLUMN(AJ57)&gt;32,COLUMN(AJ57)&lt;35),"L",VLOOKUP(AI57,'Busking Places'!$N$9:$R$28,IF($AD57="w",3,IF($AD57="c",4,IF($AD57="s",5,0))))))</f>
        <v>19</v>
      </c>
      <c r="AL57" s="96" t="str">
        <f>IF(AE57="L","LUNCH",VLOOKUP(AE57,'Busking Places'!$A$3:$B$31,2,0))</f>
        <v>Regent Terrace, S</v>
      </c>
      <c r="AM57" s="96" t="str">
        <f>IF(AF57="L","LUNCH",VLOOKUP(AF57,'Busking Places'!$A$3:$B$31,2,0))</f>
        <v>Regent Terrace, N</v>
      </c>
      <c r="AN57" s="96" t="str">
        <f>IF(AG57="L","LUNCH",VLOOKUP(AG57,'Busking Places'!$A$3:$B$31,2,0))</f>
        <v>Laundress Green</v>
      </c>
      <c r="AO57" s="96" t="str">
        <f>IF(AH57="L","LUNCH",VLOOKUP(AH57,'Busking Places'!$A$3:$B$31,2,0))</f>
        <v>LUNCH</v>
      </c>
      <c r="AP57" s="96" t="str">
        <f>IF(AI57="L","LUNCH",VLOOKUP(AI57,'Busking Places'!$A$3:$B$31,2,0))</f>
        <v>Guildhall, Mkt. Hill</v>
      </c>
      <c r="AQ57" s="96" t="str">
        <f>IF(AJ57="L","LUNCH",VLOOKUP(AJ57,'Busking Places'!$A$3:$B$31,2,0))</f>
        <v>Gt St Mary's</v>
      </c>
    </row>
    <row r="58" spans="1:43" ht="12.75">
      <c r="A58" s="11" t="s">
        <v>855</v>
      </c>
      <c r="B58" s="9">
        <v>18</v>
      </c>
      <c r="C58" s="9" t="s">
        <v>1057</v>
      </c>
      <c r="D58" s="9" t="s">
        <v>907</v>
      </c>
      <c r="E58" s="11" t="s">
        <v>1324</v>
      </c>
      <c r="F58" s="191" t="s">
        <v>1325</v>
      </c>
      <c r="H58" s="9" t="s">
        <v>1326</v>
      </c>
      <c r="J58" s="96"/>
      <c r="K58" s="9" t="s">
        <v>907</v>
      </c>
      <c r="O58" s="190">
        <v>41701</v>
      </c>
      <c r="P58" s="9">
        <f>IF(ISERROR(FIND(P$2,$C58)),0,$B58)</f>
        <v>18</v>
      </c>
      <c r="Q58" s="9">
        <f>IF(ISERROR(FIND(Q$2,$C58)),0,$B58)</f>
        <v>0</v>
      </c>
      <c r="R58" s="9">
        <f>IF(ISERROR(FIND(R$2,$C58)),0,$B58)</f>
        <v>0</v>
      </c>
      <c r="S58" s="63">
        <f>IF(ISERROR(FIND(S$2,$C58)),0,1)</f>
        <v>1</v>
      </c>
      <c r="T58" s="63">
        <f>IF(ISERROR(FIND(T$2,$C58)),0,1)</f>
        <v>0</v>
      </c>
      <c r="U58" s="63">
        <f>IF(ISERROR(FIND(U$2,$C58)),0,1)</f>
        <v>0</v>
      </c>
      <c r="V58" s="9">
        <f>IF(ISERROR(FIND(LEFT(V$2,1),$D58)),0,1)</f>
        <v>0</v>
      </c>
      <c r="W58" s="9">
        <f>IF(ISERROR(FIND(LEFT(W$2,1),$D58)),0,1)</f>
        <v>0</v>
      </c>
      <c r="X58" s="9">
        <f>IF(ISERROR(FIND(LEFT(X$2,1),$D58)),0,1)</f>
        <v>0</v>
      </c>
      <c r="Y58" s="9">
        <f>IF(ISERROR(FIND(LEFT(Y$2,1),$D58)),0,1)</f>
        <v>0</v>
      </c>
      <c r="Z58" s="9">
        <f>IF(ISERROR(FIND(LEFT(Z$2,1),$D58)),0,1)</f>
        <v>1</v>
      </c>
      <c r="AA58" s="9">
        <f>IF(ISERROR(FIND(LEFT(AA$2,1),$D58)),0,1)</f>
        <v>0</v>
      </c>
      <c r="AB58" s="9">
        <f>IF(ISERROR(FIND(LEFT(AB$2,1),$D58)),0,1)</f>
        <v>0</v>
      </c>
      <c r="AD58" s="16" t="s">
        <v>1121</v>
      </c>
      <c r="AE58" s="109">
        <v>16</v>
      </c>
      <c r="AF58" s="105">
        <f>IF(AE58="L",VLOOKUP(AD58,'Busking Places'!$N$9:$R$28,IF($AD58="w",3,IF($AD58="c",4,IF($AD58="s",5,0)))),IF(AND(ROW(AF58)-COLUMN(AF58)=ODD(ROW(AF58)-COLUMN(AF58)),COLUMN(AF58)&gt;32,COLUMN(AF58)&lt;35),"L",VLOOKUP(AE58,'Busking Places'!$N$9:$R$28,IF($AD58="w",3,IF($AD58="c",4,IF($AD58="s",5,0))))))</f>
        <v>17</v>
      </c>
      <c r="AG58" s="105" t="str">
        <f>IF(AF58="L",VLOOKUP(AE58,'Busking Places'!$N$9:$R$28,IF($AD58="w",3,IF($AD58="c",4,IF($AD58="s",5,0)))),IF(AND(ROW(AG58)-COLUMN(AG58)=ODD(ROW(AG58)-COLUMN(AG58)),COLUMN(AG58)&gt;32,COLUMN(AG58)&lt;35),"L",VLOOKUP(AF58,'Busking Places'!$N$9:$R$28,IF($AD58="w",3,IF($AD58="c",4,IF($AD58="s",5,0))))))</f>
        <v>L</v>
      </c>
      <c r="AH58" s="105">
        <f>IF(AG58="L",VLOOKUP(AF58,'Busking Places'!$N$9:$R$28,IF($AD58="w",3,IF($AD58="c",4,IF($AD58="s",5,0)))),IF(AND(ROW(AH58)-COLUMN(AH58)=ODD(ROW(AH58)-COLUMN(AH58)),COLUMN(AH58)&gt;32,COLUMN(AH58)&lt;35),"L",VLOOKUP(AG58,'Busking Places'!$N$9:$R$28,IF($AD58="w",3,IF($AD58="c",4,IF($AD58="s",5,0))))))</f>
        <v>18</v>
      </c>
      <c r="AI58" s="105">
        <f>IF(AH58="L",VLOOKUP(AG58,'Busking Places'!$N$9:$R$28,IF($AD58="w",3,IF($AD58="c",4,IF($AD58="s",5,0)))),IF(AND(ROW(AI58)-COLUMN(AI58)=ODD(ROW(AI58)-COLUMN(AI58)),COLUMN(AI58)&gt;32,COLUMN(AI58)&lt;35),"L",VLOOKUP(AH58,'Busking Places'!$N$9:$R$28,IF($AD58="w",3,IF($AD58="c",4,IF($AD58="s",5,0))))))</f>
        <v>19</v>
      </c>
      <c r="AJ58" s="105">
        <f>IF(AI58="L",VLOOKUP(AH58,'Busking Places'!$N$9:$R$28,IF($AD58="w",3,IF($AD58="c",4,IF($AD58="s",5,0)))),IF(AND(ROW(AJ58)-COLUMN(AJ58)=ODD(ROW(AJ58)-COLUMN(AJ58)),COLUMN(AJ58)&gt;32,COLUMN(AJ58)&lt;35),"L",VLOOKUP(AI58,'Busking Places'!$N$9:$R$28,IF($AD58="w",3,IF($AD58="c",4,IF($AD58="s",5,0))))))</f>
        <v>20</v>
      </c>
      <c r="AL58" s="96" t="str">
        <f>IF(AE58="L","LUNCH",VLOOKUP(AE58,'Busking Places'!$A$3:$B$31,2,0))</f>
        <v>Regent Terrace, N</v>
      </c>
      <c r="AM58" s="96" t="str">
        <f>IF(AF58="L","LUNCH",VLOOKUP(AF58,'Busking Places'!$A$3:$B$31,2,0))</f>
        <v>Laundress Green</v>
      </c>
      <c r="AN58" s="96" t="str">
        <f>IF(AG58="L","LUNCH",VLOOKUP(AG58,'Busking Places'!$A$3:$B$31,2,0))</f>
        <v>LUNCH</v>
      </c>
      <c r="AO58" s="96" t="str">
        <f>IF(AH58="L","LUNCH",VLOOKUP(AH58,'Busking Places'!$A$3:$B$31,2,0))</f>
        <v>Guildhall, Mkt. Hill</v>
      </c>
      <c r="AP58" s="96" t="str">
        <f>IF(AI58="L","LUNCH",VLOOKUP(AI58,'Busking Places'!$A$3:$B$31,2,0))</f>
        <v>Gt St Mary's</v>
      </c>
      <c r="AQ58" s="96" t="str">
        <f>IF(AJ58="L","LUNCH",VLOOKUP(AJ58,'Busking Places'!$A$3:$B$31,2,0))</f>
        <v>Sidney Street</v>
      </c>
    </row>
    <row r="59" spans="1:43" ht="30.75" customHeight="1">
      <c r="A59" s="58" t="s">
        <v>865</v>
      </c>
      <c r="B59" s="9">
        <v>20</v>
      </c>
      <c r="C59" s="9" t="s">
        <v>1057</v>
      </c>
      <c r="D59" s="9" t="s">
        <v>907</v>
      </c>
      <c r="E59" s="11" t="s">
        <v>1327</v>
      </c>
      <c r="F59" s="191" t="s">
        <v>1328</v>
      </c>
      <c r="G59" s="11"/>
      <c r="H59" s="11" t="s">
        <v>1329</v>
      </c>
      <c r="J59" s="96"/>
      <c r="K59" s="9" t="s">
        <v>907</v>
      </c>
      <c r="O59" s="190">
        <v>41701</v>
      </c>
      <c r="P59" s="9">
        <f>IF(ISERROR(FIND(P$2,$C59)),0,$B59)</f>
        <v>20</v>
      </c>
      <c r="Q59" s="9">
        <f>IF(ISERROR(FIND(Q$2,$C59)),0,$B59)</f>
        <v>0</v>
      </c>
      <c r="R59" s="9">
        <f>IF(ISERROR(FIND(R$2,$C59)),0,$B59)</f>
        <v>0</v>
      </c>
      <c r="S59" s="63">
        <f>IF(ISERROR(FIND(S$2,$C59)),0,1)</f>
        <v>1</v>
      </c>
      <c r="T59" s="63">
        <f>IF(ISERROR(FIND(T$2,$C59)),0,1)</f>
        <v>0</v>
      </c>
      <c r="U59" s="63">
        <f>IF(ISERROR(FIND(U$2,$C59)),0,1)</f>
        <v>0</v>
      </c>
      <c r="V59" s="9">
        <f>IF(ISERROR(FIND(LEFT(V$2,1),$D59)),0,1)</f>
        <v>0</v>
      </c>
      <c r="W59" s="9">
        <f>IF(ISERROR(FIND(LEFT(W$2,1),$D59)),0,1)</f>
        <v>0</v>
      </c>
      <c r="X59" s="9">
        <f>IF(ISERROR(FIND(LEFT(X$2,1),$D59)),0,1)</f>
        <v>0</v>
      </c>
      <c r="Y59" s="9">
        <f>IF(ISERROR(FIND(LEFT(Y$2,1),$D59)),0,1)</f>
        <v>0</v>
      </c>
      <c r="Z59" s="9">
        <f>IF(ISERROR(FIND(LEFT(Z$2,1),$D59)),0,1)</f>
        <v>1</v>
      </c>
      <c r="AA59" s="9">
        <f>IF(ISERROR(FIND(LEFT(AA$2,1),$D59)),0,1)</f>
        <v>0</v>
      </c>
      <c r="AB59" s="9">
        <f>IF(ISERROR(FIND(LEFT(AB$2,1),$D59)),0,1)</f>
        <v>0</v>
      </c>
      <c r="AD59" s="16" t="s">
        <v>1121</v>
      </c>
      <c r="AE59" s="109">
        <v>17</v>
      </c>
      <c r="AF59" s="105">
        <f>IF(AE59="L",VLOOKUP(AD59,'Busking Places'!$N$9:$R$28,IF($AD59="w",3,IF($AD59="c",4,IF($AD59="s",5,0)))),IF(AND(ROW(AF59)-COLUMN(AF59)=ODD(ROW(AF59)-COLUMN(AF59)),COLUMN(AF59)&gt;32,COLUMN(AF59)&lt;35),"L",VLOOKUP(AE59,'Busking Places'!$N$9:$R$28,IF($AD59="w",3,IF($AD59="c",4,IF($AD59="s",5,0))))))</f>
        <v>18</v>
      </c>
      <c r="AG59" s="105">
        <f>IF(AF59="L",VLOOKUP(AE59,'Busking Places'!$N$9:$R$28,IF($AD59="w",3,IF($AD59="c",4,IF($AD59="s",5,0)))),IF(AND(ROW(AG59)-COLUMN(AG59)=ODD(ROW(AG59)-COLUMN(AG59)),COLUMN(AG59)&gt;32,COLUMN(AG59)&lt;35),"L",VLOOKUP(AF59,'Busking Places'!$N$9:$R$28,IF($AD59="w",3,IF($AD59="c",4,IF($AD59="s",5,0))))))</f>
        <v>19</v>
      </c>
      <c r="AH59" s="105" t="str">
        <f>IF(AG59="L",VLOOKUP(AF59,'Busking Places'!$N$9:$R$28,IF($AD59="w",3,IF($AD59="c",4,IF($AD59="s",5,0)))),IF(AND(ROW(AH59)-COLUMN(AH59)=ODD(ROW(AH59)-COLUMN(AH59)),COLUMN(AH59)&gt;32,COLUMN(AH59)&lt;35),"L",VLOOKUP(AG59,'Busking Places'!$N$9:$R$28,IF($AD59="w",3,IF($AD59="c",4,IF($AD59="s",5,0))))))</f>
        <v>L</v>
      </c>
      <c r="AI59" s="105">
        <f>IF(AH59="L",VLOOKUP(AG59,'Busking Places'!$N$9:$R$28,IF($AD59="w",3,IF($AD59="c",4,IF($AD59="s",5,0)))),IF(AND(ROW(AI59)-COLUMN(AI59)=ODD(ROW(AI59)-COLUMN(AI59)),COLUMN(AI59)&gt;32,COLUMN(AI59)&lt;35),"L",VLOOKUP(AH59,'Busking Places'!$N$9:$R$28,IF($AD59="w",3,IF($AD59="c",4,IF($AD59="s",5,0))))))</f>
        <v>20</v>
      </c>
      <c r="AJ59" s="105">
        <f>IF(AI59="L",VLOOKUP(AH59,'Busking Places'!$N$9:$R$28,IF($AD59="w",3,IF($AD59="c",4,IF($AD59="s",5,0)))),IF(AND(ROW(AJ59)-COLUMN(AJ59)=ODD(ROW(AJ59)-COLUMN(AJ59)),COLUMN(AJ59)&gt;32,COLUMN(AJ59)&lt;35),"L",VLOOKUP(AI59,'Busking Places'!$N$9:$R$28,IF($AD59="w",3,IF($AD59="c",4,IF($AD59="s",5,0))))))</f>
        <v>1</v>
      </c>
      <c r="AL59" s="96" t="str">
        <f>IF(AE59="L","LUNCH",VLOOKUP(AE59,'Busking Places'!$A$3:$B$31,2,0))</f>
        <v>Laundress Green</v>
      </c>
      <c r="AM59" s="96" t="str">
        <f>IF(AF59="L","LUNCH",VLOOKUP(AF59,'Busking Places'!$A$3:$B$31,2,0))</f>
        <v>Guildhall, Mkt. Hill</v>
      </c>
      <c r="AN59" s="96" t="str">
        <f>IF(AG59="L","LUNCH",VLOOKUP(AG59,'Busking Places'!$A$3:$B$31,2,0))</f>
        <v>Gt St Mary's</v>
      </c>
      <c r="AO59" s="96" t="str">
        <f>IF(AH59="L","LUNCH",VLOOKUP(AH59,'Busking Places'!$A$3:$B$31,2,0))</f>
        <v>LUNCH</v>
      </c>
      <c r="AP59" s="96" t="str">
        <f>IF(AI59="L","LUNCH",VLOOKUP(AI59,'Busking Places'!$A$3:$B$31,2,0))</f>
        <v>Sidney Street</v>
      </c>
      <c r="AQ59" s="96" t="str">
        <f>IF(AJ59="L","LUNCH",VLOOKUP(AJ59,'Busking Places'!$A$3:$B$31,2,0))</f>
        <v>Quayside</v>
      </c>
    </row>
    <row r="60" spans="1:43" ht="21">
      <c r="A60" s="11" t="s">
        <v>884</v>
      </c>
      <c r="B60" s="9">
        <v>12</v>
      </c>
      <c r="C60" s="9" t="s">
        <v>1057</v>
      </c>
      <c r="D60" s="9" t="s">
        <v>907</v>
      </c>
      <c r="E60" s="11" t="s">
        <v>1330</v>
      </c>
      <c r="F60" s="191" t="s">
        <v>430</v>
      </c>
      <c r="H60" s="9" t="s">
        <v>1331</v>
      </c>
      <c r="J60" s="96"/>
      <c r="K60" s="9" t="s">
        <v>1085</v>
      </c>
      <c r="O60" s="190">
        <v>41701</v>
      </c>
      <c r="P60" s="9">
        <f>IF(ISERROR(FIND(P$2,$C60)),0,$B60)</f>
        <v>12</v>
      </c>
      <c r="Q60" s="9">
        <f>IF(ISERROR(FIND(Q$2,$C60)),0,$B60)</f>
        <v>0</v>
      </c>
      <c r="R60" s="9">
        <f>IF(ISERROR(FIND(R$2,$C60)),0,$B60)</f>
        <v>0</v>
      </c>
      <c r="S60" s="63">
        <f>IF(ISERROR(FIND(S$2,$C60)),0,1)</f>
        <v>1</v>
      </c>
      <c r="T60" s="63">
        <f>IF(ISERROR(FIND(T$2,$C60)),0,1)</f>
        <v>0</v>
      </c>
      <c r="U60" s="63">
        <f>IF(ISERROR(FIND(U$2,$C60)),0,1)</f>
        <v>0</v>
      </c>
      <c r="V60" s="9">
        <f>IF(ISERROR(FIND(LEFT(V$2,1),$D60)),0,1)</f>
        <v>0</v>
      </c>
      <c r="W60" s="9">
        <f>IF(ISERROR(FIND(LEFT(W$2,1),$D60)),0,1)</f>
        <v>0</v>
      </c>
      <c r="X60" s="9">
        <f>IF(ISERROR(FIND(LEFT(X$2,1),$D60)),0,1)</f>
        <v>0</v>
      </c>
      <c r="Y60" s="9">
        <f>IF(ISERROR(FIND(LEFT(Y$2,1),$D60)),0,1)</f>
        <v>0</v>
      </c>
      <c r="Z60" s="9">
        <f>IF(ISERROR(FIND(LEFT(Z$2,1),$D60)),0,1)</f>
        <v>1</v>
      </c>
      <c r="AA60" s="9">
        <f>IF(ISERROR(FIND(LEFT(AA$2,1),$D60)),0,1)</f>
        <v>0</v>
      </c>
      <c r="AB60" s="9">
        <f>IF(ISERROR(FIND(LEFT(AB$2,1),$D60)),0,1)</f>
        <v>0</v>
      </c>
      <c r="AD60" s="16" t="s">
        <v>1121</v>
      </c>
      <c r="AE60" s="109">
        <v>18</v>
      </c>
      <c r="AF60" s="105">
        <f>IF(AE60="L",VLOOKUP(AD60,'Busking Places'!$N$9:$R$28,IF($AD60="w",3,IF($AD60="c",4,IF($AD60="s",5,0)))),IF(AND(ROW(AF60)-COLUMN(AF60)=ODD(ROW(AF60)-COLUMN(AF60)),COLUMN(AF60)&gt;32,COLUMN(AF60)&lt;35),"L",VLOOKUP(AE60,'Busking Places'!$N$9:$R$28,IF($AD60="w",3,IF($AD60="c",4,IF($AD60="s",5,0))))))</f>
        <v>19</v>
      </c>
      <c r="AG60" s="105" t="str">
        <f>IF(AF60="L",VLOOKUP(AE60,'Busking Places'!$N$9:$R$28,IF($AD60="w",3,IF($AD60="c",4,IF($AD60="s",5,0)))),IF(AND(ROW(AG60)-COLUMN(AG60)=ODD(ROW(AG60)-COLUMN(AG60)),COLUMN(AG60)&gt;32,COLUMN(AG60)&lt;35),"L",VLOOKUP(AF60,'Busking Places'!$N$9:$R$28,IF($AD60="w",3,IF($AD60="c",4,IF($AD60="s",5,0))))))</f>
        <v>L</v>
      </c>
      <c r="AH60" s="105">
        <f>IF(AG60="L",VLOOKUP(AF60,'Busking Places'!$N$9:$R$28,IF($AD60="w",3,IF($AD60="c",4,IF($AD60="s",5,0)))),IF(AND(ROW(AH60)-COLUMN(AH60)=ODD(ROW(AH60)-COLUMN(AH60)),COLUMN(AH60)&gt;32,COLUMN(AH60)&lt;35),"L",VLOOKUP(AG60,'Busking Places'!$N$9:$R$28,IF($AD60="w",3,IF($AD60="c",4,IF($AD60="s",5,0))))))</f>
        <v>20</v>
      </c>
      <c r="AI60" s="105">
        <f>IF(AH60="L",VLOOKUP(AG60,'Busking Places'!$N$9:$R$28,IF($AD60="w",3,IF($AD60="c",4,IF($AD60="s",5,0)))),IF(AND(ROW(AI60)-COLUMN(AI60)=ODD(ROW(AI60)-COLUMN(AI60)),COLUMN(AI60)&gt;32,COLUMN(AI60)&lt;35),"L",VLOOKUP(AH60,'Busking Places'!$N$9:$R$28,IF($AD60="w",3,IF($AD60="c",4,IF($AD60="s",5,0))))))</f>
        <v>1</v>
      </c>
      <c r="AJ60" s="105">
        <f>IF(AI60="L",VLOOKUP(AH60,'Busking Places'!$N$9:$R$28,IF($AD60="w",3,IF($AD60="c",4,IF($AD60="s",5,0)))),IF(AND(ROW(AJ60)-COLUMN(AJ60)=ODD(ROW(AJ60)-COLUMN(AJ60)),COLUMN(AJ60)&gt;32,COLUMN(AJ60)&lt;35),"L",VLOOKUP(AI60,'Busking Places'!$N$9:$R$28,IF($AD60="w",3,IF($AD60="c",4,IF($AD60="s",5,0))))))</f>
        <v>2</v>
      </c>
      <c r="AL60" s="96" t="str">
        <f>IF(AE60="L","LUNCH",VLOOKUP(AE60,'Busking Places'!$A$3:$B$31,2,0))</f>
        <v>Guildhall, Mkt. Hill</v>
      </c>
      <c r="AM60" s="96" t="str">
        <f>IF(AF60="L","LUNCH",VLOOKUP(AF60,'Busking Places'!$A$3:$B$31,2,0))</f>
        <v>Gt St Mary's</v>
      </c>
      <c r="AN60" s="96" t="str">
        <f>IF(AG60="L","LUNCH",VLOOKUP(AG60,'Busking Places'!$A$3:$B$31,2,0))</f>
        <v>LUNCH</v>
      </c>
      <c r="AO60" s="96" t="str">
        <f>IF(AH60="L","LUNCH",VLOOKUP(AH60,'Busking Places'!$A$3:$B$31,2,0))</f>
        <v>Sidney Street</v>
      </c>
      <c r="AP60" s="96" t="str">
        <f>IF(AI60="L","LUNCH",VLOOKUP(AI60,'Busking Places'!$A$3:$B$31,2,0))</f>
        <v>Quayside</v>
      </c>
      <c r="AQ60" s="96" t="str">
        <f>IF(AJ60="L","LUNCH",VLOOKUP(AJ60,'Busking Places'!$A$3:$B$31,2,0))</f>
        <v>The Maypole</v>
      </c>
    </row>
    <row r="61" spans="1:43" ht="24.75">
      <c r="A61" s="65" t="s">
        <v>889</v>
      </c>
      <c r="B61" s="9">
        <v>10</v>
      </c>
      <c r="C61" s="9" t="s">
        <v>1057</v>
      </c>
      <c r="D61" s="9" t="s">
        <v>907</v>
      </c>
      <c r="E61" s="11" t="s">
        <v>1332</v>
      </c>
      <c r="F61" s="191" t="s">
        <v>1333</v>
      </c>
      <c r="H61" s="9" t="s">
        <v>1334</v>
      </c>
      <c r="J61" s="96"/>
      <c r="K61" s="9" t="s">
        <v>1085</v>
      </c>
      <c r="O61" s="190">
        <v>41701</v>
      </c>
      <c r="P61" s="9">
        <f>IF(ISERROR(FIND(P$2,$C61)),0,$B61)</f>
        <v>10</v>
      </c>
      <c r="Q61" s="9">
        <f>IF(ISERROR(FIND(Q$2,$C61)),0,$B61)</f>
        <v>0</v>
      </c>
      <c r="R61" s="9">
        <f>IF(ISERROR(FIND(R$2,$C61)),0,$B61)</f>
        <v>0</v>
      </c>
      <c r="S61" s="63">
        <f>IF(ISERROR(FIND(S$2,$C61)),0,1)</f>
        <v>1</v>
      </c>
      <c r="T61" s="63">
        <f>IF(ISERROR(FIND(T$2,$C61)),0,1)</f>
        <v>0</v>
      </c>
      <c r="U61" s="63">
        <f>IF(ISERROR(FIND(U$2,$C61)),0,1)</f>
        <v>0</v>
      </c>
      <c r="V61" s="9">
        <f>IF(ISERROR(FIND(LEFT(V$2,1),$D61)),0,1)</f>
        <v>0</v>
      </c>
      <c r="W61" s="9">
        <f>IF(ISERROR(FIND(LEFT(W$2,1),$D61)),0,1)</f>
        <v>0</v>
      </c>
      <c r="X61" s="9">
        <f>IF(ISERROR(FIND(LEFT(X$2,1),$D61)),0,1)</f>
        <v>0</v>
      </c>
      <c r="Y61" s="9">
        <f>IF(ISERROR(FIND(LEFT(Y$2,1),$D61)),0,1)</f>
        <v>0</v>
      </c>
      <c r="Z61" s="9">
        <f>IF(ISERROR(FIND(LEFT(Z$2,1),$D61)),0,1)</f>
        <v>1</v>
      </c>
      <c r="AA61" s="9">
        <f>IF(ISERROR(FIND(LEFT(AA$2,1),$D61)),0,1)</f>
        <v>0</v>
      </c>
      <c r="AB61" s="9">
        <f>IF(ISERROR(FIND(LEFT(AB$2,1),$D61)),0,1)</f>
        <v>0</v>
      </c>
      <c r="AD61" s="16" t="s">
        <v>1121</v>
      </c>
      <c r="AE61" s="109">
        <v>19</v>
      </c>
      <c r="AF61" s="105">
        <f>IF(AE61="L",VLOOKUP(AD61,'Busking Places'!$N$9:$R$28,IF($AD61="w",3,IF($AD61="c",4,IF($AD61="s",5,0)))),IF(AND(ROW(AF61)-COLUMN(AF61)=ODD(ROW(AF61)-COLUMN(AF61)),COLUMN(AF61)&gt;32,COLUMN(AF61)&lt;35),"L",VLOOKUP(AE61,'Busking Places'!$N$9:$R$28,IF($AD61="w",3,IF($AD61="c",4,IF($AD61="s",5,0))))))</f>
        <v>20</v>
      </c>
      <c r="AG61" s="105">
        <f>IF(AF61="L",VLOOKUP(AE61,'Busking Places'!$N$9:$R$28,IF($AD61="w",3,IF($AD61="c",4,IF($AD61="s",5,0)))),IF(AND(ROW(AG61)-COLUMN(AG61)=ODD(ROW(AG61)-COLUMN(AG61)),COLUMN(AG61)&gt;32,COLUMN(AG61)&lt;35),"L",VLOOKUP(AF61,'Busking Places'!$N$9:$R$28,IF($AD61="w",3,IF($AD61="c",4,IF($AD61="s",5,0))))))</f>
        <v>1</v>
      </c>
      <c r="AH61" s="105" t="str">
        <f>IF(AG61="L",VLOOKUP(AF61,'Busking Places'!$N$9:$R$28,IF($AD61="w",3,IF($AD61="c",4,IF($AD61="s",5,0)))),IF(AND(ROW(AH61)-COLUMN(AH61)=ODD(ROW(AH61)-COLUMN(AH61)),COLUMN(AH61)&gt;32,COLUMN(AH61)&lt;35),"L",VLOOKUP(AG61,'Busking Places'!$N$9:$R$28,IF($AD61="w",3,IF($AD61="c",4,IF($AD61="s",5,0))))))</f>
        <v>L</v>
      </c>
      <c r="AI61" s="105">
        <f>IF(AH61="L",VLOOKUP(AG61,'Busking Places'!$N$9:$R$28,IF($AD61="w",3,IF($AD61="c",4,IF($AD61="s",5,0)))),IF(AND(ROW(AI61)-COLUMN(AI61)=ODD(ROW(AI61)-COLUMN(AI61)),COLUMN(AI61)&gt;32,COLUMN(AI61)&lt;35),"L",VLOOKUP(AH61,'Busking Places'!$N$9:$R$28,IF($AD61="w",3,IF($AD61="c",4,IF($AD61="s",5,0))))))</f>
        <v>2</v>
      </c>
      <c r="AJ61" s="105">
        <f>IF(AI61="L",VLOOKUP(AH61,'Busking Places'!$N$9:$R$28,IF($AD61="w",3,IF($AD61="c",4,IF($AD61="s",5,0)))),IF(AND(ROW(AJ61)-COLUMN(AJ61)=ODD(ROW(AJ61)-COLUMN(AJ61)),COLUMN(AJ61)&gt;32,COLUMN(AJ61)&lt;35),"L",VLOOKUP(AI61,'Busking Places'!$N$9:$R$28,IF($AD61="w",3,IF($AD61="c",4,IF($AD61="s",5,0))))))</f>
        <v>3</v>
      </c>
      <c r="AL61" s="96" t="str">
        <f>IF(AE61="L","LUNCH",VLOOKUP(AE61,'Busking Places'!$A$3:$B$31,2,0))</f>
        <v>Gt St Mary's</v>
      </c>
      <c r="AM61" s="96" t="str">
        <f>IF(AF61="L","LUNCH",VLOOKUP(AF61,'Busking Places'!$A$3:$B$31,2,0))</f>
        <v>Sidney Street</v>
      </c>
      <c r="AN61" s="96" t="str">
        <f>IF(AG61="L","LUNCH",VLOOKUP(AG61,'Busking Places'!$A$3:$B$31,2,0))</f>
        <v>Quayside</v>
      </c>
      <c r="AO61" s="96" t="str">
        <f>IF(AH61="L","LUNCH",VLOOKUP(AH61,'Busking Places'!$A$3:$B$31,2,0))</f>
        <v>LUNCH</v>
      </c>
      <c r="AP61" s="96" t="str">
        <f>IF(AI61="L","LUNCH",VLOOKUP(AI61,'Busking Places'!$A$3:$B$31,2,0))</f>
        <v>The Maypole</v>
      </c>
      <c r="AQ61" s="96" t="str">
        <f>IF(AJ61="L","LUNCH",VLOOKUP(AJ61,'Busking Places'!$A$3:$B$31,2,0))</f>
        <v>Jesus Green</v>
      </c>
    </row>
    <row r="62" spans="1:43" ht="12.75">
      <c r="A62" s="11" t="s">
        <v>899</v>
      </c>
      <c r="B62" s="9">
        <v>20</v>
      </c>
      <c r="C62" s="9" t="s">
        <v>1059</v>
      </c>
      <c r="D62" s="9" t="s">
        <v>907</v>
      </c>
      <c r="E62" s="11" t="s">
        <v>1335</v>
      </c>
      <c r="F62" s="191" t="s">
        <v>1336</v>
      </c>
      <c r="G62" s="9" t="s">
        <v>1337</v>
      </c>
      <c r="H62" s="202" t="s">
        <v>1338</v>
      </c>
      <c r="J62" s="96"/>
      <c r="K62" s="9" t="s">
        <v>907</v>
      </c>
      <c r="L62" s="11" t="s">
        <v>1339</v>
      </c>
      <c r="O62" s="190">
        <v>41712</v>
      </c>
      <c r="P62" s="9">
        <f>IF(ISERROR(FIND(P$2,$C62)),0,$B62)</f>
        <v>0</v>
      </c>
      <c r="Q62" s="9">
        <f>IF(ISERROR(FIND(Q$2,$C62)),0,$B62)</f>
        <v>0</v>
      </c>
      <c r="R62" s="9">
        <f>IF(ISERROR(FIND(R$2,$C62)),0,$B62)</f>
        <v>20</v>
      </c>
      <c r="S62" s="63">
        <f>IF(ISERROR(FIND(S$2,$C62)),0,1)</f>
        <v>0</v>
      </c>
      <c r="T62" s="63">
        <f>IF(ISERROR(FIND(T$2,$C62)),0,1)</f>
        <v>0</v>
      </c>
      <c r="U62" s="63">
        <f>IF(ISERROR(FIND(U$2,$C62)),0,1)</f>
        <v>1</v>
      </c>
      <c r="V62" s="9">
        <f>IF(ISERROR(FIND(LEFT(V$2,1),$D62)),0,1)</f>
        <v>0</v>
      </c>
      <c r="W62" s="9">
        <f>IF(ISERROR(FIND(LEFT(W$2,1),$D62)),0,1)</f>
        <v>0</v>
      </c>
      <c r="X62" s="9">
        <f>IF(ISERROR(FIND(LEFT(X$2,1),$D62)),0,1)</f>
        <v>0</v>
      </c>
      <c r="Y62" s="9">
        <f>IF(ISERROR(FIND(LEFT(Y$2,1),$D62)),0,1)</f>
        <v>0</v>
      </c>
      <c r="Z62" s="9">
        <f>IF(ISERROR(FIND(LEFT(Z$2,1),$D62)),0,1)</f>
        <v>1</v>
      </c>
      <c r="AA62" s="9">
        <f>IF(ISERROR(FIND(LEFT(AA$2,1),$D62)),0,1)</f>
        <v>0</v>
      </c>
      <c r="AB62" s="9">
        <f>IF(ISERROR(FIND(LEFT(AB$2,1),$D62)),0,1)</f>
        <v>0</v>
      </c>
      <c r="AD62" s="16" t="s">
        <v>1121</v>
      </c>
      <c r="AE62" s="109">
        <v>20</v>
      </c>
      <c r="AF62" s="105">
        <f>IF(AE62="L",VLOOKUP(AD62,'Busking Places'!$N$9:$R$28,IF($AD62="w",3,IF($AD62="c",4,IF($AD62="s",5,0)))),IF(AND(ROW(AF62)-COLUMN(AF62)=ODD(ROW(AF62)-COLUMN(AF62)),COLUMN(AF62)&gt;32,COLUMN(AF62)&lt;35),"L",VLOOKUP(AE62,'Busking Places'!$N$9:$R$28,IF($AD62="w",3,IF($AD62="c",4,IF($AD62="s",5,0))))))</f>
        <v>1</v>
      </c>
      <c r="AG62" s="105" t="str">
        <f>IF(AF62="L",VLOOKUP(AE62,'Busking Places'!$N$9:$R$28,IF($AD62="w",3,IF($AD62="c",4,IF($AD62="s",5,0)))),IF(AND(ROW(AG62)-COLUMN(AG62)=ODD(ROW(AG62)-COLUMN(AG62)),COLUMN(AG62)&gt;32,COLUMN(AG62)&lt;35),"L",VLOOKUP(AF62,'Busking Places'!$N$9:$R$28,IF($AD62="w",3,IF($AD62="c",4,IF($AD62="s",5,0))))))</f>
        <v>L</v>
      </c>
      <c r="AH62" s="105">
        <f>IF(AG62="L",VLOOKUP(AF62,'Busking Places'!$N$9:$R$28,IF($AD62="w",3,IF($AD62="c",4,IF($AD62="s",5,0)))),IF(AND(ROW(AH62)-COLUMN(AH62)=ODD(ROW(AH62)-COLUMN(AH62)),COLUMN(AH62)&gt;32,COLUMN(AH62)&lt;35),"L",VLOOKUP(AG62,'Busking Places'!$N$9:$R$28,IF($AD62="w",3,IF($AD62="c",4,IF($AD62="s",5,0))))))</f>
        <v>2</v>
      </c>
      <c r="AI62" s="105">
        <f>IF(AH62="L",VLOOKUP(AG62,'Busking Places'!$N$9:$R$28,IF($AD62="w",3,IF($AD62="c",4,IF($AD62="s",5,0)))),IF(AND(ROW(AI62)-COLUMN(AI62)=ODD(ROW(AI62)-COLUMN(AI62)),COLUMN(AI62)&gt;32,COLUMN(AI62)&lt;35),"L",VLOOKUP(AH62,'Busking Places'!$N$9:$R$28,IF($AD62="w",3,IF($AD62="c",4,IF($AD62="s",5,0))))))</f>
        <v>3</v>
      </c>
      <c r="AJ62" s="105">
        <f>IF(AI62="L",VLOOKUP(AH62,'Busking Places'!$N$9:$R$28,IF($AD62="w",3,IF($AD62="c",4,IF($AD62="s",5,0)))),IF(AND(ROW(AJ62)-COLUMN(AJ62)=ODD(ROW(AJ62)-COLUMN(AJ62)),COLUMN(AJ62)&gt;32,COLUMN(AJ62)&lt;35),"L",VLOOKUP(AI62,'Busking Places'!$N$9:$R$28,IF($AD62="w",3,IF($AD62="c",4,IF($AD62="s",5,0))))))</f>
        <v>4</v>
      </c>
      <c r="AL62" s="96" t="str">
        <f>IF(AE62="L","LUNCH",VLOOKUP(AE62,'Busking Places'!$A$3:$B$31,2,0))</f>
        <v>Sidney Street</v>
      </c>
      <c r="AM62" s="96" t="str">
        <f>IF(AF62="L","LUNCH",VLOOKUP(AF62,'Busking Places'!$A$3:$B$31,2,0))</f>
        <v>Quayside</v>
      </c>
      <c r="AN62" s="96" t="str">
        <f>IF(AG62="L","LUNCH",VLOOKUP(AG62,'Busking Places'!$A$3:$B$31,2,0))</f>
        <v>LUNCH</v>
      </c>
      <c r="AO62" s="96" t="str">
        <f>IF(AH62="L","LUNCH",VLOOKUP(AH62,'Busking Places'!$A$3:$B$31,2,0))</f>
        <v>The Maypole</v>
      </c>
      <c r="AP62" s="96" t="str">
        <f>IF(AI62="L","LUNCH",VLOOKUP(AI62,'Busking Places'!$A$3:$B$31,2,0))</f>
        <v>Jesus Green</v>
      </c>
      <c r="AQ62" s="96" t="str">
        <f>IF(AJ62="L","LUNCH",VLOOKUP(AJ62,'Busking Places'!$A$3:$B$31,2,0))</f>
        <v>Fort St George</v>
      </c>
    </row>
    <row r="63" spans="1:43" ht="12.75">
      <c r="A63" s="9" t="s">
        <v>876</v>
      </c>
      <c r="C63" s="9" t="s">
        <v>1059</v>
      </c>
      <c r="D63" s="9" t="s">
        <v>1340</v>
      </c>
      <c r="E63" s="11" t="s">
        <v>1341</v>
      </c>
      <c r="F63" s="204" t="s">
        <v>1342</v>
      </c>
      <c r="G63" s="11" t="s">
        <v>1343</v>
      </c>
      <c r="J63" s="96"/>
      <c r="L63" s="11" t="s">
        <v>1344</v>
      </c>
      <c r="M63" s="11" t="s">
        <v>1345</v>
      </c>
      <c r="O63" s="190"/>
      <c r="P63" s="9">
        <f>IF(ISERROR(FIND(P$2,$C63)),0,$B63)</f>
        <v>0</v>
      </c>
      <c r="Q63" s="9">
        <f>IF(ISERROR(FIND(Q$2,$C63)),0,$B63)</f>
        <v>0</v>
      </c>
      <c r="R63" s="9">
        <f>IF(ISERROR(FIND(R$2,$C63)),0,$B63)</f>
        <v>0</v>
      </c>
      <c r="S63" s="63">
        <f>IF(ISERROR(FIND(S$2,$C63)),0,1)</f>
        <v>0</v>
      </c>
      <c r="T63" s="63">
        <f>IF(ISERROR(FIND(T$2,$C63)),0,1)</f>
        <v>0</v>
      </c>
      <c r="U63" s="63">
        <f>IF(ISERROR(FIND(U$2,$C63)),0,1)</f>
        <v>1</v>
      </c>
      <c r="V63" s="9">
        <f>IF(ISERROR(FIND(LEFT(V$2,1),$D63)),0,1)</f>
        <v>0</v>
      </c>
      <c r="W63" s="9">
        <f>IF(ISERROR(FIND(LEFT(W$2,1),$D63)),0,1)</f>
        <v>0</v>
      </c>
      <c r="X63" s="9">
        <f>IF(ISERROR(FIND(LEFT(X$2,1),$D63)),0,1)</f>
        <v>0</v>
      </c>
      <c r="Y63" s="9">
        <f>IF(ISERROR(FIND(LEFT(Y$2,1),$D63)),0,1)</f>
        <v>1</v>
      </c>
      <c r="Z63" s="9">
        <f>IF(ISERROR(FIND(LEFT(Z$2,1),$D63)),0,1)</f>
        <v>1</v>
      </c>
      <c r="AA63" s="9">
        <f>IF(ISERROR(FIND(LEFT(AA$2,1),$D63)),0,1)</f>
        <v>0</v>
      </c>
      <c r="AB63" s="9">
        <f>IF(ISERROR(FIND(LEFT(AB$2,1),$D63)),0,1)</f>
        <v>0</v>
      </c>
      <c r="AD63" s="16" t="s">
        <v>1110</v>
      </c>
      <c r="AE63" s="109">
        <v>18</v>
      </c>
      <c r="AF63" s="105">
        <f>IF(AE63="L",VLOOKUP(AD63,'Busking Places'!$N$9:$R$28,IF($AD63="w",3,IF($AD63="c",4,IF($AD63="s",5,0)))),IF(AND(ROW(AF63)-COLUMN(AF63)=ODD(ROW(AF63)-COLUMN(AF63)),COLUMN(AF63)&gt;32,COLUMN(AF63)&lt;35),"L",VLOOKUP(AE63,'Busking Places'!$N$9:$R$28,IF($AD63="w",3,IF($AD63="c",4,IF($AD63="s",5,0))))))</f>
        <v>20</v>
      </c>
      <c r="AG63" s="105">
        <f>IF(AF63="L",VLOOKUP(AE63,'Busking Places'!$N$9:$R$28,IF($AD63="w",3,IF($AD63="c",4,IF($AD63="s",5,0)))),IF(AND(ROW(AG63)-COLUMN(AG63)=ODD(ROW(AG63)-COLUMN(AG63)),COLUMN(AG63)&gt;32,COLUMN(AG63)&lt;35),"L",VLOOKUP(AF63,'Busking Places'!$N$9:$R$28,IF($AD63="w",3,IF($AD63="c",4,IF($AD63="s",5,0))))))</f>
        <v>2</v>
      </c>
      <c r="AH63" s="105" t="str">
        <f>IF(AG63="L",VLOOKUP(AF63,'Busking Places'!$N$9:$R$28,IF($AD63="w",3,IF($AD63="c",4,IF($AD63="s",5,0)))),IF(AND(ROW(AH63)-COLUMN(AH63)=ODD(ROW(AH63)-COLUMN(AH63)),COLUMN(AH63)&gt;32,COLUMN(AH63)&lt;35),"L",VLOOKUP(AG63,'Busking Places'!$N$9:$R$28,IF($AD63="w",3,IF($AD63="c",4,IF($AD63="s",5,0))))))</f>
        <v>L</v>
      </c>
      <c r="AI63" s="105">
        <f>IF(AH63="L",VLOOKUP(AG63,'Busking Places'!$N$9:$R$28,IF($AD63="w",3,IF($AD63="c",4,IF($AD63="s",5,0)))),IF(AND(ROW(AI63)-COLUMN(AI63)=ODD(ROW(AI63)-COLUMN(AI63)),COLUMN(AI63)&gt;32,COLUMN(AI63)&lt;35),"L",VLOOKUP(AH63,'Busking Places'!$N$9:$R$28,IF($AD63="w",3,IF($AD63="c",4,IF($AD63="s",5,0))))))</f>
        <v>4</v>
      </c>
      <c r="AJ63" s="105">
        <f>IF(AI63="L",VLOOKUP(AH63,'Busking Places'!$N$9:$R$28,IF($AD63="w",3,IF($AD63="c",4,IF($AD63="s",5,0)))),IF(AND(ROW(AJ63)-COLUMN(AJ63)=ODD(ROW(AJ63)-COLUMN(AJ63)),COLUMN(AJ63)&gt;32,COLUMN(AJ63)&lt;35),"L",VLOOKUP(AI63,'Busking Places'!$N$9:$R$28,IF($AD63="w",3,IF($AD63="c",4,IF($AD63="s",5,0))))))</f>
        <v>6</v>
      </c>
      <c r="AL63" s="96" t="str">
        <f>IF(AE63="L","LUNCH",VLOOKUP(AE63,'Busking Places'!$A$3:$B$31,2,0))</f>
        <v>Guildhall, Mkt. Hill</v>
      </c>
      <c r="AM63" s="96" t="str">
        <f>IF(AF63="L","LUNCH",VLOOKUP(AF63,'Busking Places'!$A$3:$B$31,2,0))</f>
        <v>Sidney Street</v>
      </c>
      <c r="AN63" s="96" t="str">
        <f>IF(AG63="L","LUNCH",VLOOKUP(AG63,'Busking Places'!$A$3:$B$31,2,0))</f>
        <v>The Maypole</v>
      </c>
      <c r="AO63" s="96" t="str">
        <f>IF(AH63="L","LUNCH",VLOOKUP(AH63,'Busking Places'!$A$3:$B$31,2,0))</f>
        <v>LUNCH</v>
      </c>
      <c r="AP63" s="96" t="str">
        <f>IF(AI63="L","LUNCH",VLOOKUP(AI63,'Busking Places'!$A$3:$B$31,2,0))</f>
        <v>Fort St George</v>
      </c>
      <c r="AQ63" s="96" t="str">
        <f>IF(AJ63="L","LUNCH",VLOOKUP(AJ63,'Busking Places'!$A$3:$B$31,2,0))</f>
        <v>Pike's Walk</v>
      </c>
    </row>
    <row r="64" spans="1:43" ht="12.75">
      <c r="A64" t="s">
        <v>856</v>
      </c>
      <c r="C64" s="9" t="s">
        <v>1059</v>
      </c>
      <c r="D64" s="9" t="s">
        <v>1346</v>
      </c>
      <c r="E64" s="11" t="s">
        <v>1347</v>
      </c>
      <c r="F64" s="204" t="s">
        <v>1348</v>
      </c>
      <c r="G64" s="9" t="s">
        <v>1349</v>
      </c>
      <c r="H64" t="s">
        <v>1350</v>
      </c>
      <c r="J64" s="96"/>
      <c r="L64" s="11" t="s">
        <v>1351</v>
      </c>
      <c r="O64" s="190"/>
      <c r="P64" s="9">
        <f>IF(ISERROR(FIND(P$2,$C64)),0,$B64)</f>
        <v>0</v>
      </c>
      <c r="Q64" s="9">
        <f>IF(ISERROR(FIND(Q$2,$C64)),0,$B64)</f>
        <v>0</v>
      </c>
      <c r="R64" s="9">
        <f>IF(ISERROR(FIND(R$2,$C64)),0,$B64)</f>
        <v>0</v>
      </c>
      <c r="S64" s="63">
        <f>IF(ISERROR(FIND(S$2,$C64)),0,1)</f>
        <v>0</v>
      </c>
      <c r="T64" s="63">
        <f>IF(ISERROR(FIND(T$2,$C64)),0,1)</f>
        <v>0</v>
      </c>
      <c r="U64" s="63">
        <f>IF(ISERROR(FIND(U$2,$C64)),0,1)</f>
        <v>1</v>
      </c>
      <c r="V64" s="9">
        <f>IF(ISERROR(FIND(LEFT(V$2,1),$D64)),0,1)</f>
        <v>0</v>
      </c>
      <c r="W64" s="9">
        <f>IF(ISERROR(FIND(LEFT(W$2,1),$D64)),0,1)</f>
        <v>0</v>
      </c>
      <c r="X64" s="9">
        <f>IF(ISERROR(FIND(LEFT(X$2,1),$D64)),0,1)</f>
        <v>0</v>
      </c>
      <c r="Y64" s="9">
        <f>IF(ISERROR(FIND(LEFT(Y$2,1),$D64)),0,1)</f>
        <v>0</v>
      </c>
      <c r="Z64" s="9">
        <f>IF(ISERROR(FIND(LEFT(Z$2,1),$D64)),0,1)</f>
        <v>0</v>
      </c>
      <c r="AA64" s="9">
        <f>IF(ISERROR(FIND(LEFT(AA$2,1),$D64)),0,1)</f>
        <v>1</v>
      </c>
      <c r="AB64" s="9">
        <f>IF(ISERROR(FIND(LEFT(AB$2,1),$D64)),0,1)</f>
        <v>0</v>
      </c>
      <c r="AD64" s="16" t="s">
        <v>1110</v>
      </c>
      <c r="AE64" s="109">
        <v>19</v>
      </c>
      <c r="AF64" s="105">
        <f>IF(AE64="L",VLOOKUP(AD64,'Busking Places'!$N$9:$R$28,IF($AD64="w",3,IF($AD64="c",4,IF($AD64="s",5,0)))),IF(AND(ROW(AF64)-COLUMN(AF64)=ODD(ROW(AF64)-COLUMN(AF64)),COLUMN(AF64)&gt;32,COLUMN(AF64)&lt;35),"L",VLOOKUP(AE64,'Busking Places'!$N$9:$R$28,IF($AD64="w",3,IF($AD64="c",4,IF($AD64="s",5,0))))))</f>
        <v>1</v>
      </c>
      <c r="AG64" s="105" t="str">
        <f>IF(AF64="L",VLOOKUP(AE64,'Busking Places'!$N$9:$R$28,IF($AD64="w",3,IF($AD64="c",4,IF($AD64="s",5,0)))),IF(AND(ROW(AG64)-COLUMN(AG64)=ODD(ROW(AG64)-COLUMN(AG64)),COLUMN(AG64)&gt;32,COLUMN(AG64)&lt;35),"L",VLOOKUP(AF64,'Busking Places'!$N$9:$R$28,IF($AD64="w",3,IF($AD64="c",4,IF($AD64="s",5,0))))))</f>
        <v>L</v>
      </c>
      <c r="AH64" s="105">
        <f>IF(AG64="L",VLOOKUP(AF64,'Busking Places'!$N$9:$R$28,IF($AD64="w",3,IF($AD64="c",4,IF($AD64="s",5,0)))),IF(AND(ROW(AH64)-COLUMN(AH64)=ODD(ROW(AH64)-COLUMN(AH64)),COLUMN(AH64)&gt;32,COLUMN(AH64)&lt;35),"L",VLOOKUP(AG64,'Busking Places'!$N$9:$R$28,IF($AD64="w",3,IF($AD64="c",4,IF($AD64="s",5,0))))))</f>
        <v>3</v>
      </c>
      <c r="AI64" s="105">
        <f>IF(AH64="L",VLOOKUP(AG64,'Busking Places'!$N$9:$R$28,IF($AD64="w",3,IF($AD64="c",4,IF($AD64="s",5,0)))),IF(AND(ROW(AI64)-COLUMN(AI64)=ODD(ROW(AI64)-COLUMN(AI64)),COLUMN(AI64)&gt;32,COLUMN(AI64)&lt;35),"L",VLOOKUP(AH64,'Busking Places'!$N$9:$R$28,IF($AD64="w",3,IF($AD64="c",4,IF($AD64="s",5,0))))))</f>
        <v>5</v>
      </c>
      <c r="AJ64" s="105">
        <f>IF(AI64="L",VLOOKUP(AH64,'Busking Places'!$N$9:$R$28,IF($AD64="w",3,IF($AD64="c",4,IF($AD64="s",5,0)))),IF(AND(ROW(AJ64)-COLUMN(AJ64)=ODD(ROW(AJ64)-COLUMN(AJ64)),COLUMN(AJ64)&gt;32,COLUMN(AJ64)&lt;35),"L",VLOOKUP(AI64,'Busking Places'!$N$9:$R$28,IF($AD64="w",3,IF($AD64="c",4,IF($AD64="s",5,0))))))</f>
        <v>7</v>
      </c>
      <c r="AL64" s="96" t="str">
        <f>IF(AE64="L","LUNCH",VLOOKUP(AE64,'Busking Places'!$A$3:$B$31,2,0))</f>
        <v>Gt St Mary's</v>
      </c>
      <c r="AM64" s="96" t="str">
        <f>IF(AF64="L","LUNCH",VLOOKUP(AF64,'Busking Places'!$A$3:$B$31,2,0))</f>
        <v>Quayside</v>
      </c>
      <c r="AN64" s="96" t="str">
        <f>IF(AG64="L","LUNCH",VLOOKUP(AG64,'Busking Places'!$A$3:$B$31,2,0))</f>
        <v>LUNCH</v>
      </c>
      <c r="AO64" s="96" t="str">
        <f>IF(AH64="L","LUNCH",VLOOKUP(AH64,'Busking Places'!$A$3:$B$31,2,0))</f>
        <v>Jesus Green</v>
      </c>
      <c r="AP64" s="96" t="str">
        <f>IF(AI64="L","LUNCH",VLOOKUP(AI64,'Busking Places'!$A$3:$B$31,2,0))</f>
        <v>Butt Green</v>
      </c>
      <c r="AQ64" s="96" t="str">
        <f>IF(AJ64="L","LUNCH",VLOOKUP(AJ64,'Busking Places'!$A$3:$B$31,2,0))</f>
        <v>Christ's Pieces</v>
      </c>
    </row>
    <row r="65" spans="1:43" s="210" customFormat="1" ht="24.75" customHeight="1">
      <c r="A65" s="209" t="s">
        <v>1352</v>
      </c>
      <c r="E65" s="211" t="s">
        <v>1353</v>
      </c>
      <c r="F65" s="212" t="s">
        <v>1354</v>
      </c>
      <c r="G65" s="209" t="s">
        <v>1355</v>
      </c>
      <c r="H65" s="209" t="s">
        <v>1356</v>
      </c>
      <c r="J65" s="213"/>
      <c r="L65" s="209" t="s">
        <v>1357</v>
      </c>
      <c r="M65" s="58" t="s">
        <v>1358</v>
      </c>
      <c r="O65" s="214">
        <v>41712</v>
      </c>
      <c r="P65" s="210">
        <f>IF(ISERROR(FIND(P$2,$C65)),0,$B65)</f>
        <v>0</v>
      </c>
      <c r="Q65" s="210">
        <f>IF(ISERROR(FIND(Q$2,$C65)),0,$B65)</f>
        <v>0</v>
      </c>
      <c r="R65" s="210">
        <f>IF(ISERROR(FIND(R$2,$C65)),0,$B65)</f>
        <v>0</v>
      </c>
      <c r="S65" s="215">
        <f>IF(ISERROR(FIND(S$2,$C65)),0,1)</f>
        <v>0</v>
      </c>
      <c r="T65" s="215">
        <f>IF(ISERROR(FIND(T$2,$C65)),0,1)</f>
        <v>0</v>
      </c>
      <c r="U65" s="215">
        <f>IF(ISERROR(FIND(U$2,$C65)),0,1)</f>
        <v>0</v>
      </c>
      <c r="V65" s="210">
        <f>IF(ISERROR(FIND(LEFT(V$2,1),$D65)),0,1)</f>
        <v>0</v>
      </c>
      <c r="W65" s="210">
        <f>IF(ISERROR(FIND(LEFT(W$2,1),$D65)),0,1)</f>
        <v>0</v>
      </c>
      <c r="X65" s="210">
        <f>IF(ISERROR(FIND(LEFT(X$2,1),$D65)),0,1)</f>
        <v>0</v>
      </c>
      <c r="Y65" s="210">
        <f>IF(ISERROR(FIND(LEFT(Y$2,1),$D65)),0,1)</f>
        <v>0</v>
      </c>
      <c r="Z65" s="210">
        <f>IF(ISERROR(FIND(LEFT(Z$2,1),$D65)),0,1)</f>
        <v>0</v>
      </c>
      <c r="AA65" s="210">
        <f>IF(ISERROR(FIND(LEFT(AA$2,1),$D65)),0,1)</f>
        <v>0</v>
      </c>
      <c r="AB65" s="210">
        <f>IF(ISERROR(FIND(LEFT(AB$2,1),$D65)),0,1)</f>
        <v>0</v>
      </c>
      <c r="AD65" s="216"/>
      <c r="AE65" s="217"/>
      <c r="AF65" s="218"/>
      <c r="AG65" s="218"/>
      <c r="AH65" s="218"/>
      <c r="AI65" s="218"/>
      <c r="AJ65" s="218"/>
      <c r="AL65" s="213"/>
      <c r="AM65" s="213"/>
      <c r="AN65" s="213"/>
      <c r="AO65" s="213"/>
      <c r="AP65" s="213"/>
      <c r="AQ65" s="213"/>
    </row>
    <row r="66" spans="6:36" ht="12">
      <c r="F66" s="191"/>
      <c r="AB66" s="9" t="s">
        <v>1359</v>
      </c>
      <c r="AD66" s="16" t="s">
        <v>1110</v>
      </c>
      <c r="AE66" s="16">
        <v>11</v>
      </c>
      <c r="AF66" s="105">
        <f>IF(AE66="L",VLOOKUP(AD66,'Busking Places'!$N$9:$R$28,IF($AD66="w",3,IF($AD66="c",4,IF($AD66="s",5,0)))),IF(AND(ROW(AF66)-COLUMN(AF66)=ODD(ROW(AF66)-COLUMN(AF66)),COLUMN(AF66)&gt;32,COLUMN(AF66)&lt;35),"L",VLOOKUP(AE66,'Busking Places'!$N$9:$R$28,IF($AD66="w",3,IF($AD66="c",4,IF($AD66="s",5,0))))))</f>
        <v>13</v>
      </c>
      <c r="AG66" s="105" t="str">
        <f>IF(AF66="L",VLOOKUP(AE66,'Busking Places'!$N$9:$R$28,IF($AD66="w",3,IF($AD66="c",4,IF($AD66="s",5,0)))),IF(AND(ROW(AG66)-COLUMN(AG66)=ODD(ROW(AG66)-COLUMN(AG66)),COLUMN(AG66)&gt;32,COLUMN(AG66)&lt;35),"L",VLOOKUP(AF66,'Busking Places'!$N$9:$R$28,IF($AD66="w",3,IF($AD66="c",4,IF($AD66="s",5,0))))))</f>
        <v>L</v>
      </c>
      <c r="AH66" s="105">
        <f>IF(AG66="L",VLOOKUP(AF66,'Busking Places'!$N$9:$R$28,IF($AD66="w",3,IF($AD66="c",4,IF($AD66="s",5,0)))),IF(AND(ROW(AH66)-COLUMN(AH66)=ODD(ROW(AH66)-COLUMN(AH66)),COLUMN(AH66)&gt;32,COLUMN(AH66)&lt;35),"L",VLOOKUP(AG66,'Busking Places'!$N$9:$R$28,IF($AD66="w",3,IF($AD66="c",4,IF($AD66="s",5,0))))))</f>
        <v>15</v>
      </c>
      <c r="AI66" s="105">
        <f>IF(AH66="L",VLOOKUP(AG66,'Busking Places'!$N$9:$R$28,IF($AD66="w",3,IF($AD66="c",4,IF($AD66="s",5,0)))),IF(AND(ROW(AI66)-COLUMN(AI66)=ODD(ROW(AI66)-COLUMN(AI66)),COLUMN(AI66)&gt;32,COLUMN(AI66)&lt;35),"L",VLOOKUP(AH66,'Busking Places'!$N$9:$R$28,IF($AD66="w",3,IF($AD66="c",4,IF($AD66="s",5,0))))))</f>
        <v>17</v>
      </c>
      <c r="AJ66" s="125">
        <f>IF(AI66="L",VLOOKUP(AH66,'Busking Places'!$N$9:$R$28,IF($AD66="w",3,IF($AD66="c",4,IF($AD66="s",5,0)))),IF(AND(ROW(AJ66)-COLUMN(AJ66)=ODD(ROW(AJ66)-COLUMN(AJ66)),COLUMN(AJ66)&gt;32,COLUMN(AJ66)&lt;35),"L",VLOOKUP(AI66,'Busking Places'!$N$9:$R$28,IF($AD66="w",3,IF($AD66="c",4,IF($AD66="s",5,0))))))</f>
        <v>19</v>
      </c>
    </row>
    <row r="67" spans="1:31" ht="18.75">
      <c r="A67" s="219" t="s">
        <v>1360</v>
      </c>
      <c r="F67" s="191"/>
      <c r="N67" s="170"/>
      <c r="AD67" s="16"/>
      <c r="AE67" s="16"/>
    </row>
    <row r="68" spans="2:37" ht="12.75">
      <c r="B68" s="175"/>
      <c r="C68" s="176"/>
      <c r="D68" s="220" t="s">
        <v>1060</v>
      </c>
      <c r="F68" s="221">
        <v>0.55</v>
      </c>
      <c r="G68" s="222">
        <f>$F68*G$71</f>
        <v>33</v>
      </c>
      <c r="H68" s="223" t="s">
        <v>1361</v>
      </c>
      <c r="N68" s="224"/>
      <c r="AD68" s="225" t="s">
        <v>1121</v>
      </c>
      <c r="AE68" s="226" t="s">
        <v>1362</v>
      </c>
      <c r="AF68" s="226"/>
      <c r="AG68" s="227"/>
      <c r="AH68" s="227"/>
      <c r="AI68" s="228"/>
      <c r="AJ68" s="96"/>
      <c r="AK68" s="96"/>
    </row>
    <row r="69" spans="2:37" ht="12.75">
      <c r="B69" s="229"/>
      <c r="C69" s="170"/>
      <c r="D69" s="230" t="s">
        <v>1061</v>
      </c>
      <c r="F69" s="231">
        <v>0.25</v>
      </c>
      <c r="G69" s="232">
        <f>$F69*G$71</f>
        <v>15</v>
      </c>
      <c r="H69" s="233" t="s">
        <v>1363</v>
      </c>
      <c r="N69" s="224"/>
      <c r="AD69" s="234" t="s">
        <v>1110</v>
      </c>
      <c r="AE69" s="235" t="s">
        <v>1364</v>
      </c>
      <c r="AF69" s="235"/>
      <c r="AG69" s="236"/>
      <c r="AH69" s="236"/>
      <c r="AI69" s="237"/>
      <c r="AJ69" s="96"/>
      <c r="AK69" s="96"/>
    </row>
    <row r="70" spans="2:37" ht="12.75">
      <c r="B70" s="229"/>
      <c r="C70" s="170"/>
      <c r="D70" s="230" t="s">
        <v>1062</v>
      </c>
      <c r="F70" s="238">
        <v>0.2</v>
      </c>
      <c r="G70" s="239">
        <f>$F70*G$71</f>
        <v>12</v>
      </c>
      <c r="H70" s="240" t="s">
        <v>1365</v>
      </c>
      <c r="N70" s="224"/>
      <c r="AD70" s="241" t="s">
        <v>1080</v>
      </c>
      <c r="AE70" s="242" t="s">
        <v>1366</v>
      </c>
      <c r="AF70" s="242"/>
      <c r="AG70" s="243"/>
      <c r="AH70" s="243"/>
      <c r="AI70" s="244"/>
      <c r="AJ70" s="96"/>
      <c r="AK70" s="96"/>
    </row>
    <row r="71" spans="2:14" ht="12.75">
      <c r="B71" s="229"/>
      <c r="C71" s="170"/>
      <c r="D71" s="230" t="s">
        <v>1063</v>
      </c>
      <c r="F71" s="245">
        <f>SUM(F68:F70)</f>
        <v>1</v>
      </c>
      <c r="G71" s="246">
        <v>60</v>
      </c>
      <c r="H71" s="96" t="s">
        <v>1367</v>
      </c>
      <c r="N71" s="224"/>
    </row>
    <row r="72" spans="2:4" ht="12">
      <c r="B72" s="229"/>
      <c r="C72" s="170"/>
      <c r="D72" s="230" t="s">
        <v>1064</v>
      </c>
    </row>
    <row r="73" spans="2:4" ht="12">
      <c r="B73" s="229"/>
      <c r="C73" s="170"/>
      <c r="D73" s="230" t="s">
        <v>1065</v>
      </c>
    </row>
    <row r="74" spans="2:33" ht="12">
      <c r="B74" s="247"/>
      <c r="C74" s="248"/>
      <c r="D74" s="249" t="s">
        <v>1066</v>
      </c>
      <c r="AF74" s="10" t="s">
        <v>1368</v>
      </c>
      <c r="AG74" s="10"/>
    </row>
    <row r="75" spans="32:33" ht="12">
      <c r="AF75" s="10" t="s">
        <v>1369</v>
      </c>
      <c r="AG75" s="10"/>
    </row>
    <row r="76" spans="32:33" ht="12">
      <c r="AF76" s="10"/>
      <c r="AG76" s="10" t="s">
        <v>1370</v>
      </c>
    </row>
    <row r="77" spans="32:33" ht="12">
      <c r="AF77" s="10"/>
      <c r="AG77" s="10"/>
    </row>
    <row r="78" spans="32:33" ht="12">
      <c r="AF78" s="10" t="s">
        <v>1371</v>
      </c>
      <c r="AG78" s="10"/>
    </row>
    <row r="79" spans="32:33" ht="12">
      <c r="AF79" s="10" t="s">
        <v>1372</v>
      </c>
      <c r="AG79" s="10"/>
    </row>
    <row r="80" spans="32:33" ht="12">
      <c r="AF80" s="10"/>
      <c r="AG80" s="10"/>
    </row>
    <row r="81" spans="32:33" ht="12">
      <c r="AF81" s="10" t="s">
        <v>1373</v>
      </c>
      <c r="AG81" s="10"/>
    </row>
    <row r="82" spans="32:33" ht="12">
      <c r="AF82" s="10" t="s">
        <v>1374</v>
      </c>
      <c r="AG82" s="10"/>
    </row>
    <row r="83" spans="32:33" ht="12">
      <c r="AF83" s="10"/>
      <c r="AG83" s="10" t="s">
        <v>1375</v>
      </c>
    </row>
  </sheetData>
  <conditionalFormatting sqref="C1:C65536">
    <cfRule type="cellIs" priority="1" dxfId="1" operator="equal" stopIfTrue="1">
      <formula>"MR"</formula>
    </cfRule>
    <cfRule type="cellIs" priority="2" dxfId="0" operator="equal" stopIfTrue="1">
      <formula>"MF"</formula>
    </cfRule>
    <cfRule type="cellIs" priority="3" dxfId="2" operator="equal" stopIfTrue="1">
      <formula>"OM"</formula>
    </cfRule>
  </conditionalFormatting>
  <hyperlinks>
    <hyperlink ref="F7" r:id="rId1" display="mikestevensPE11@aol.co.uk"/>
    <hyperlink ref="F10" r:id="rId2" display="esmm.bagman@btinternet.com"/>
    <hyperlink ref="F17" r:id="rId3" display="bagman@wicketbrood.org.uk geoffsimmonds@btopenworld.com "/>
    <hyperlink ref="F18" r:id="rId4" display="lin_tunbridge@hotmail.co.uk turbervilleinfo@gmail.com"/>
    <hyperlink ref="F24" r:id="rId5" display="info@baldockmidnightmorris.org.uk"/>
    <hyperlink ref="F27" r:id="rId6" display="brackleymorris@gmail.com"/>
    <hyperlink ref="F29" r:id="rId7" display="mjtheobald@talktalk.net"/>
    <hyperlink ref="F30" r:id="rId8" display="coton.morris@gmx.com"/>
    <hyperlink ref="F35" r:id="rId9" display="bagman@greensleevesmorris.org.uk"/>
    <hyperlink ref="F38" r:id="rId10" display="enquiries@ladybayrevellersmorris.org.uk"/>
    <hyperlink ref="F39" r:id="rId11" display="alpdsmith@talktalk.net"/>
    <hyperlink ref="F40" r:id="rId12" display="charliecorcoran7@ntlworld.com"/>
    <hyperlink ref="F63" r:id="rId13" display="pattipitt6@aol.com"/>
    <hyperlink ref="F64" r:id="rId14" display="natasha.woodward@live.co.uk "/>
    <hyperlink ref="E65" r:id="rId15" display="Pete Stafford-Honeyball Elaine"/>
  </hyperlinks>
  <printOptions horizontalCentered="1"/>
  <pageMargins left="0.7479166666666667" right="0.7479166666666667" top="1.18125" bottom="0.9840277777777777" header="0.5118055555555555" footer="0.5118055555555555"/>
  <pageSetup horizontalDpi="300" verticalDpi="300" orientation="landscape" paperSize="9"/>
  <headerFooter alignWithMargins="0">
    <oddHeader>&amp;L&amp;"Monotype Corsiva,Regular"&amp;16Joint Morris Organisations
The Morris Ring&amp;C&amp;"Monotype Corsiva,Regular"&amp;16Cambridge 2014 Day of Dance
&amp;A&amp;R&amp;"Monotype Corsiva,Regular"&amp;16Cambridge Morris Men
Graham Cox</oddHeader>
    <oddFooter>&amp;L&amp;F&amp;Cpage &amp;P of &amp;N&amp;R&amp;T on &amp;D</oddFooter>
  </headerFooter>
</worksheet>
</file>

<file path=xl/worksheets/sheet14.xml><?xml version="1.0" encoding="utf-8"?>
<worksheet xmlns="http://schemas.openxmlformats.org/spreadsheetml/2006/main" xmlns:r="http://schemas.openxmlformats.org/officeDocument/2006/relationships">
  <dimension ref="A1:L39"/>
  <sheetViews>
    <sheetView zoomScale="150" zoomScaleNormal="150" workbookViewId="0" topLeftCell="A1">
      <selection activeCell="A2" sqref="A2"/>
    </sheetView>
  </sheetViews>
  <sheetFormatPr defaultColWidth="9.140625" defaultRowHeight="12.75"/>
  <sheetData>
    <row r="1" spans="1:7" ht="12">
      <c r="A1" s="144" t="s">
        <v>43</v>
      </c>
      <c r="F1">
        <v>9.6</v>
      </c>
      <c r="G1" t="s">
        <v>1376</v>
      </c>
    </row>
    <row r="2" ht="12">
      <c r="A2" t="s">
        <v>1377</v>
      </c>
    </row>
    <row r="3" ht="12">
      <c r="A3" t="s">
        <v>1378</v>
      </c>
    </row>
    <row r="4" spans="2:12" ht="12">
      <c r="B4" s="144" t="s">
        <v>1379</v>
      </c>
      <c r="E4" s="250">
        <v>41324</v>
      </c>
      <c r="F4" s="250"/>
      <c r="G4" s="61">
        <v>0.4236111111111111</v>
      </c>
      <c r="H4" t="s">
        <v>39</v>
      </c>
      <c r="I4" t="s">
        <v>1380</v>
      </c>
      <c r="J4" t="s">
        <v>1381</v>
      </c>
      <c r="L4" t="s">
        <v>1382</v>
      </c>
    </row>
    <row r="5" ht="12">
      <c r="A5" t="s">
        <v>1383</v>
      </c>
    </row>
    <row r="6" ht="12">
      <c r="A6" t="s">
        <v>1384</v>
      </c>
    </row>
    <row r="7" ht="12">
      <c r="A7" t="s">
        <v>1385</v>
      </c>
    </row>
    <row r="8" ht="12">
      <c r="A8" t="s">
        <v>1386</v>
      </c>
    </row>
    <row r="9" ht="12">
      <c r="A9" t="s">
        <v>1387</v>
      </c>
    </row>
    <row r="10" ht="12">
      <c r="A10" t="s">
        <v>1388</v>
      </c>
    </row>
    <row r="11" spans="3:4" ht="12.75">
      <c r="C11" s="128" t="s">
        <v>1389</v>
      </c>
      <c r="D11" s="163" t="s">
        <v>1390</v>
      </c>
    </row>
    <row r="12" spans="3:4" ht="12.75">
      <c r="C12" s="128" t="s">
        <v>1391</v>
      </c>
      <c r="D12" s="163" t="s">
        <v>484</v>
      </c>
    </row>
    <row r="14" spans="1:9" ht="12">
      <c r="A14" s="144" t="s">
        <v>1392</v>
      </c>
      <c r="F14">
        <v>3.2</v>
      </c>
      <c r="G14" t="s">
        <v>1376</v>
      </c>
      <c r="I14" t="s">
        <v>1393</v>
      </c>
    </row>
    <row r="15" ht="12">
      <c r="A15" t="s">
        <v>1394</v>
      </c>
    </row>
    <row r="17" spans="1:9" ht="12">
      <c r="A17" s="144" t="s">
        <v>1395</v>
      </c>
      <c r="F17">
        <v>0.12</v>
      </c>
      <c r="G17" t="s">
        <v>1376</v>
      </c>
      <c r="I17" t="s">
        <v>1393</v>
      </c>
    </row>
    <row r="18" ht="12">
      <c r="A18" t="s">
        <v>1396</v>
      </c>
    </row>
    <row r="20" spans="1:9" ht="12">
      <c r="A20" s="144" t="s">
        <v>1397</v>
      </c>
      <c r="F20">
        <v>0.12</v>
      </c>
      <c r="G20" t="s">
        <v>1376</v>
      </c>
      <c r="I20" t="s">
        <v>1393</v>
      </c>
    </row>
    <row r="21" ht="12">
      <c r="A21" t="s">
        <v>1398</v>
      </c>
    </row>
    <row r="22" ht="12">
      <c r="A22" t="s">
        <v>1399</v>
      </c>
    </row>
    <row r="24" spans="1:9" ht="12">
      <c r="A24" s="144" t="s">
        <v>1400</v>
      </c>
      <c r="F24">
        <v>0.23</v>
      </c>
      <c r="G24" t="s">
        <v>1376</v>
      </c>
      <c r="I24" t="s">
        <v>1393</v>
      </c>
    </row>
    <row r="25" ht="12">
      <c r="A25" t="s">
        <v>1401</v>
      </c>
    </row>
    <row r="28" ht="12">
      <c r="A28" s="144" t="s">
        <v>1402</v>
      </c>
    </row>
    <row r="29" ht="12">
      <c r="A29" t="s">
        <v>1403</v>
      </c>
    </row>
    <row r="30" ht="12">
      <c r="B30" t="s">
        <v>1404</v>
      </c>
    </row>
    <row r="31" spans="3:7" ht="12">
      <c r="C31">
        <v>561123</v>
      </c>
      <c r="D31">
        <v>230970</v>
      </c>
      <c r="F31">
        <v>561233</v>
      </c>
      <c r="G31">
        <v>230917</v>
      </c>
    </row>
    <row r="32" spans="3:7" ht="12">
      <c r="C32">
        <v>561214</v>
      </c>
      <c r="D32">
        <v>230885</v>
      </c>
      <c r="F32">
        <v>561214</v>
      </c>
      <c r="G32">
        <v>230885</v>
      </c>
    </row>
    <row r="33" spans="2:7" ht="12">
      <c r="B33" t="s">
        <v>1405</v>
      </c>
      <c r="C33" s="251">
        <f>C31-C32</f>
        <v>-91</v>
      </c>
      <c r="D33" s="251">
        <f>D31-D32</f>
        <v>85</v>
      </c>
      <c r="F33" s="251">
        <f>F31-F32</f>
        <v>19</v>
      </c>
      <c r="G33" s="251">
        <f>G31-G32</f>
        <v>32</v>
      </c>
    </row>
    <row r="34" spans="2:10" ht="12">
      <c r="B34" s="128" t="s">
        <v>1406</v>
      </c>
      <c r="C34" s="252">
        <f>SQRT(C33*C33+D33*D33)</f>
        <v>124.52309022827855</v>
      </c>
      <c r="D34" t="s">
        <v>1407</v>
      </c>
      <c r="E34" s="128" t="s">
        <v>1408</v>
      </c>
      <c r="F34" s="252">
        <f>SQRT(F33*F33+G33*G33)</f>
        <v>37.21558813185679</v>
      </c>
      <c r="G34" t="s">
        <v>1407</v>
      </c>
      <c r="H34" s="128" t="s">
        <v>1409</v>
      </c>
      <c r="I34" s="251">
        <f>C34*F34</f>
        <v>4634.200038841655</v>
      </c>
      <c r="J34" t="s">
        <v>1410</v>
      </c>
    </row>
    <row r="35" spans="8:10" ht="12">
      <c r="H35" t="s">
        <v>1411</v>
      </c>
      <c r="I35" s="253">
        <f>I34/10000</f>
        <v>0.46342000388416554</v>
      </c>
      <c r="J35" t="s">
        <v>1376</v>
      </c>
    </row>
    <row r="36" spans="2:4" ht="12">
      <c r="B36" s="128" t="s">
        <v>1412</v>
      </c>
      <c r="C36">
        <v>20</v>
      </c>
      <c r="D36" t="s">
        <v>1413</v>
      </c>
    </row>
    <row r="37" spans="2:4" ht="12">
      <c r="B37" s="128" t="s">
        <v>1412</v>
      </c>
      <c r="C37">
        <v>60</v>
      </c>
      <c r="D37" t="s">
        <v>1414</v>
      </c>
    </row>
    <row r="38" spans="8:10" ht="12">
      <c r="H38" s="128" t="s">
        <v>1415</v>
      </c>
      <c r="I38" s="254">
        <f>I35/C36*C37</f>
        <v>1.3902600116524968</v>
      </c>
      <c r="J38" t="s">
        <v>1376</v>
      </c>
    </row>
    <row r="39" spans="8:10" ht="12">
      <c r="H39" t="s">
        <v>1416</v>
      </c>
      <c r="I39">
        <v>2</v>
      </c>
      <c r="J39" t="s">
        <v>1376</v>
      </c>
    </row>
  </sheetData>
  <mergeCells count="1">
    <mergeCell ref="E4:F4"/>
  </mergeCells>
  <hyperlinks>
    <hyperlink ref="D11" r:id="rId1" display="https://www.cambridge.gov.uk/services/park-hire"/>
    <hyperlink ref="D12" r:id="rId2" display="events@cambridge.gov.uk"/>
  </hyperlinks>
  <printOptions horizontalCentered="1"/>
  <pageMargins left="0.7479166666666667" right="0.7479166666666667" top="1.18125" bottom="0.9840277777777777" header="0.5118055555555555" footer="0.5118055555555555"/>
  <pageSetup horizontalDpi="300" verticalDpi="300" orientation="landscape" paperSize="9"/>
  <headerFooter alignWithMargins="0">
    <oddHeader>&amp;L&amp;"Monotype Corsiva,Regular"&amp;16Joint Morris Organisations
The Morris Ring&amp;C&amp;"Monotype Corsiva,Regular"&amp;16Cambridge 2014 Day of Dance
&amp;A&amp;R&amp;"Monotype Corsiva,Regular"&amp;16Cambridge Morris Men
Graham Cox</oddHeader>
    <oddFooter>&amp;L&amp;F&amp;Cpage &amp;P of &amp;N&amp;R&amp;T on &amp;D</oddFooter>
  </headerFooter>
</worksheet>
</file>

<file path=xl/worksheets/sheet15.xml><?xml version="1.0" encoding="utf-8"?>
<worksheet xmlns="http://schemas.openxmlformats.org/spreadsheetml/2006/main" xmlns:r="http://schemas.openxmlformats.org/officeDocument/2006/relationships">
  <dimension ref="A1:E8"/>
  <sheetViews>
    <sheetView zoomScale="150" zoomScaleNormal="150" workbookViewId="0" topLeftCell="A1">
      <selection activeCell="A1" sqref="A1"/>
    </sheetView>
  </sheetViews>
  <sheetFormatPr defaultColWidth="9.140625" defaultRowHeight="12.75"/>
  <cols>
    <col min="1" max="1" width="35.7109375" style="9" customWidth="1"/>
    <col min="2" max="3" width="20.7109375" style="9" customWidth="1"/>
    <col min="4" max="4" width="40.7109375" style="11" customWidth="1"/>
    <col min="5" max="5" width="15.57421875" style="255" customWidth="1"/>
    <col min="6" max="9" width="2.7109375" style="9" customWidth="1"/>
    <col min="10" max="16384" width="9.140625" style="9" customWidth="1"/>
  </cols>
  <sheetData>
    <row r="1" spans="1:5" s="16" customFormat="1" ht="12.75">
      <c r="A1" s="16" t="s">
        <v>1417</v>
      </c>
      <c r="B1" s="16" t="s">
        <v>1418</v>
      </c>
      <c r="C1" s="16" t="s">
        <v>1419</v>
      </c>
      <c r="D1" s="13" t="s">
        <v>1420</v>
      </c>
      <c r="E1" s="256" t="s">
        <v>1421</v>
      </c>
    </row>
    <row r="2" spans="1:5" ht="39.75" customHeight="1">
      <c r="A2" s="9" t="s">
        <v>1422</v>
      </c>
      <c r="B2" s="9" t="s">
        <v>1423</v>
      </c>
      <c r="C2" s="9" t="s">
        <v>92</v>
      </c>
      <c r="D2" s="11" t="s">
        <v>1424</v>
      </c>
      <c r="E2" s="255">
        <v>41659</v>
      </c>
    </row>
    <row r="3" spans="1:5" ht="39.75" customHeight="1">
      <c r="A3" s="9" t="s">
        <v>1425</v>
      </c>
      <c r="B3" s="9" t="s">
        <v>1426</v>
      </c>
      <c r="C3" s="9" t="s">
        <v>92</v>
      </c>
      <c r="D3" s="11" t="s">
        <v>1427</v>
      </c>
      <c r="E3" s="255">
        <v>41668</v>
      </c>
    </row>
    <row r="4" spans="1:5" ht="39.75" customHeight="1">
      <c r="A4" s="9" t="s">
        <v>1428</v>
      </c>
      <c r="B4" s="9" t="s">
        <v>1429</v>
      </c>
      <c r="C4" s="9" t="s">
        <v>603</v>
      </c>
      <c r="D4" s="11" t="s">
        <v>1430</v>
      </c>
      <c r="E4" s="255">
        <v>41698</v>
      </c>
    </row>
    <row r="5" spans="1:5" ht="39.75" customHeight="1">
      <c r="A5" s="9" t="s">
        <v>1431</v>
      </c>
      <c r="B5" s="9" t="s">
        <v>1432</v>
      </c>
      <c r="C5" s="9" t="s">
        <v>603</v>
      </c>
      <c r="D5" s="11" t="s">
        <v>1433</v>
      </c>
      <c r="E5" s="255">
        <v>41698</v>
      </c>
    </row>
    <row r="6" spans="1:5" ht="39.75" customHeight="1">
      <c r="A6" s="9" t="s">
        <v>1434</v>
      </c>
      <c r="B6" s="9" t="s">
        <v>1435</v>
      </c>
      <c r="C6" s="9" t="s">
        <v>603</v>
      </c>
      <c r="D6" s="257" t="s">
        <v>1436</v>
      </c>
      <c r="E6" s="255">
        <v>41661</v>
      </c>
    </row>
    <row r="7" spans="1:5" ht="39.75" customHeight="1">
      <c r="A7" s="9" t="s">
        <v>1437</v>
      </c>
      <c r="B7" s="9" t="s">
        <v>1435</v>
      </c>
      <c r="C7" s="9" t="s">
        <v>1438</v>
      </c>
      <c r="D7" s="11" t="s">
        <v>1439</v>
      </c>
      <c r="E7" s="255">
        <v>41659</v>
      </c>
    </row>
    <row r="8" spans="1:5" ht="39.75" customHeight="1">
      <c r="A8" s="9" t="s">
        <v>1440</v>
      </c>
      <c r="B8" s="9" t="s">
        <v>1441</v>
      </c>
      <c r="C8" s="9" t="s">
        <v>158</v>
      </c>
      <c r="D8" s="11" t="s">
        <v>1442</v>
      </c>
      <c r="E8" s="255">
        <v>41660</v>
      </c>
    </row>
  </sheetData>
  <printOptions horizontalCentered="1"/>
  <pageMargins left="0.7479166666666667" right="0.7479166666666667" top="1.18125" bottom="0.9840277777777777" header="0.5118055555555555" footer="0.5118055555555555"/>
  <pageSetup horizontalDpi="300" verticalDpi="300" orientation="landscape" paperSize="9"/>
  <headerFooter alignWithMargins="0">
    <oddHeader>&amp;L&amp;"Monotype Corsiva,Regular"&amp;16Joint Morris Organisations
The Morris Ring&amp;C&amp;"Monotype Corsiva,Regular"&amp;16Cambridge 2014 Day of Dance
&amp;A&amp;R&amp;"Monotype Corsiva,Regular"&amp;16Cambridge Morris Men
Graham Cox</oddHeader>
    <oddFooter>&amp;L&amp;F&amp;Cpage &amp;P of &amp;N&amp;R&amp;T on &amp;D</oddFooter>
  </headerFooter>
</worksheet>
</file>

<file path=xl/worksheets/sheet16.xml><?xml version="1.0" encoding="utf-8"?>
<worksheet xmlns="http://schemas.openxmlformats.org/spreadsheetml/2006/main" xmlns:r="http://schemas.openxmlformats.org/officeDocument/2006/relationships">
  <dimension ref="A1:B12"/>
  <sheetViews>
    <sheetView zoomScale="150" zoomScaleNormal="150" workbookViewId="0" topLeftCell="A1">
      <selection activeCell="A2" sqref="A2"/>
    </sheetView>
  </sheetViews>
  <sheetFormatPr defaultColWidth="9.140625" defaultRowHeight="12.75"/>
  <sheetData>
    <row r="1" ht="12">
      <c r="A1" s="144" t="s">
        <v>1443</v>
      </c>
    </row>
    <row r="2" spans="1:2" ht="12">
      <c r="A2" s="144"/>
      <c r="B2" t="s">
        <v>1444</v>
      </c>
    </row>
    <row r="3" spans="1:2" ht="12">
      <c r="A3" s="144"/>
      <c r="B3" t="s">
        <v>1445</v>
      </c>
    </row>
    <row r="5" ht="12">
      <c r="A5" s="144" t="s">
        <v>1446</v>
      </c>
    </row>
    <row r="6" ht="12">
      <c r="B6" t="s">
        <v>1447</v>
      </c>
    </row>
    <row r="8" ht="12">
      <c r="A8" s="144" t="s">
        <v>1448</v>
      </c>
    </row>
    <row r="9" ht="12">
      <c r="B9" t="s">
        <v>1447</v>
      </c>
    </row>
    <row r="11" ht="12">
      <c r="A11" s="144" t="s">
        <v>1449</v>
      </c>
    </row>
    <row r="12" ht="12">
      <c r="B12" t="s">
        <v>1447</v>
      </c>
    </row>
  </sheetData>
  <printOptions horizontalCentered="1"/>
  <pageMargins left="0.7479166666666667" right="0.7479166666666667" top="1.18125" bottom="0.9840277777777777" header="0.5118055555555555" footer="0.5118055555555555"/>
  <pageSetup horizontalDpi="300" verticalDpi="300" orientation="landscape" paperSize="9"/>
  <headerFooter alignWithMargins="0">
    <oddHeader>&amp;L&amp;"Monotype Corsiva,Regular"&amp;16Joint Morris Organisations
The Morris Ring&amp;C&amp;"Monotype Corsiva,Regular"&amp;16Cambridge 2014 Day of Dance
&amp;A&amp;R&amp;"Monotype Corsiva,Regular"&amp;16Cambridge Morris Men
Graham Cox</oddHeader>
    <oddFooter>&amp;L&amp;F&amp;Cpage &amp;P of &amp;N&amp;R&amp;T on &amp;D</oddFooter>
  </headerFooter>
</worksheet>
</file>

<file path=xl/worksheets/sheet17.xml><?xml version="1.0" encoding="utf-8"?>
<worksheet xmlns="http://schemas.openxmlformats.org/spreadsheetml/2006/main" xmlns:r="http://schemas.openxmlformats.org/officeDocument/2006/relationships">
  <dimension ref="A1:A1"/>
  <sheetViews>
    <sheetView zoomScale="150" zoomScaleNormal="150" workbookViewId="0" topLeftCell="A1">
      <selection activeCell="A2" sqref="A2"/>
    </sheetView>
  </sheetViews>
  <sheetFormatPr defaultColWidth="9.140625" defaultRowHeight="12.75"/>
  <sheetData/>
  <printOptions horizontalCentered="1"/>
  <pageMargins left="0.7479166666666667" right="0.7479166666666667" top="1.18125" bottom="0.9840277777777777" header="0.5118055555555555" footer="0.5118055555555555"/>
  <pageSetup horizontalDpi="300" verticalDpi="300" orientation="landscape" paperSize="9"/>
  <headerFooter alignWithMargins="0">
    <oddHeader>&amp;L&amp;"Monotype Corsiva,Regular"&amp;16Joint Morris Organisations
The Morris Ring&amp;C&amp;"Monotype Corsiva,Regular"&amp;16Cambridge 2014 Day of Dance
&amp;A&amp;R&amp;"Monotype Corsiva,Regular"&amp;16Cambridge Morris Men
Graham Cox</oddHeader>
    <oddFooter>&amp;L&amp;F&amp;Cpage &amp;P of &amp;N&amp;R&amp;T on &amp;D</oddFooter>
  </headerFooter>
</worksheet>
</file>

<file path=xl/worksheets/sheet18.xml><?xml version="1.0" encoding="utf-8"?>
<worksheet xmlns="http://schemas.openxmlformats.org/spreadsheetml/2006/main" xmlns:r="http://schemas.openxmlformats.org/officeDocument/2006/relationships">
  <dimension ref="A1:D10"/>
  <sheetViews>
    <sheetView zoomScale="150" zoomScaleNormal="150" workbookViewId="0" topLeftCell="A1">
      <selection activeCell="A1" sqref="A1"/>
    </sheetView>
  </sheetViews>
  <sheetFormatPr defaultColWidth="9.140625" defaultRowHeight="12.75"/>
  <cols>
    <col min="1" max="1" width="9.140625" style="258" customWidth="1"/>
    <col min="2" max="2" width="19.00390625" style="101" customWidth="1"/>
    <col min="3" max="3" width="16.421875" style="259" customWidth="1"/>
    <col min="4" max="4" width="9.140625" style="260" customWidth="1"/>
    <col min="5" max="5" width="9.8515625" style="101" customWidth="1"/>
    <col min="6" max="6" width="9.140625" style="101" customWidth="1"/>
    <col min="7" max="7" width="9.421875" style="101" customWidth="1"/>
    <col min="8" max="16384" width="9.140625" style="101" customWidth="1"/>
  </cols>
  <sheetData>
    <row r="1" spans="1:4" s="144" customFormat="1" ht="12">
      <c r="A1" s="146" t="s">
        <v>1450</v>
      </c>
      <c r="B1" s="144" t="s">
        <v>20</v>
      </c>
      <c r="C1" s="261" t="s">
        <v>7</v>
      </c>
      <c r="D1" s="262" t="s">
        <v>1451</v>
      </c>
    </row>
    <row r="2" spans="1:4" ht="12">
      <c r="A2" s="258">
        <v>2003</v>
      </c>
      <c r="B2" s="101" t="s">
        <v>1452</v>
      </c>
      <c r="C2" s="259">
        <v>37927</v>
      </c>
      <c r="D2" s="260" t="s">
        <v>181</v>
      </c>
    </row>
    <row r="3" spans="1:4" ht="12">
      <c r="A3" s="258">
        <v>2005</v>
      </c>
      <c r="B3" s="101" t="s">
        <v>1453</v>
      </c>
      <c r="C3" s="259">
        <v>38465</v>
      </c>
      <c r="D3" s="260" t="s">
        <v>181</v>
      </c>
    </row>
    <row r="4" spans="1:4" ht="12">
      <c r="A4" s="258">
        <v>2007</v>
      </c>
      <c r="B4" s="101" t="s">
        <v>1454</v>
      </c>
      <c r="C4" s="259">
        <v>39186</v>
      </c>
      <c r="D4" s="260" t="s">
        <v>181</v>
      </c>
    </row>
    <row r="5" spans="1:4" ht="12">
      <c r="A5" s="258">
        <v>2009</v>
      </c>
      <c r="B5" s="101" t="s">
        <v>1455</v>
      </c>
      <c r="C5" s="259">
        <v>39900</v>
      </c>
      <c r="D5" s="260" t="s">
        <v>1057</v>
      </c>
    </row>
    <row r="6" spans="1:4" ht="12">
      <c r="A6" s="258">
        <v>2010</v>
      </c>
      <c r="B6" s="101" t="s">
        <v>1456</v>
      </c>
      <c r="C6" s="259">
        <v>40285</v>
      </c>
      <c r="D6" s="260" t="s">
        <v>1059</v>
      </c>
    </row>
    <row r="7" spans="1:4" ht="12">
      <c r="A7" s="258">
        <v>2011</v>
      </c>
      <c r="B7" s="101" t="s">
        <v>1457</v>
      </c>
      <c r="C7" s="259">
        <v>40677</v>
      </c>
      <c r="D7" s="260" t="s">
        <v>1058</v>
      </c>
    </row>
    <row r="8" spans="1:4" ht="12">
      <c r="A8" s="258">
        <v>2012</v>
      </c>
      <c r="B8" s="101" t="s">
        <v>1458</v>
      </c>
      <c r="C8" s="259">
        <v>41090</v>
      </c>
      <c r="D8" s="260" t="s">
        <v>1059</v>
      </c>
    </row>
    <row r="9" spans="1:4" ht="12">
      <c r="A9" s="258">
        <v>2013</v>
      </c>
      <c r="B9" s="101" t="s">
        <v>1459</v>
      </c>
      <c r="C9" s="259">
        <v>41384</v>
      </c>
      <c r="D9" s="260" t="s">
        <v>1057</v>
      </c>
    </row>
    <row r="10" spans="1:4" ht="12">
      <c r="A10" s="258">
        <v>2014</v>
      </c>
      <c r="B10" s="101" t="s">
        <v>2</v>
      </c>
      <c r="C10" s="259">
        <v>41769</v>
      </c>
      <c r="D10" s="260" t="s">
        <v>1058</v>
      </c>
    </row>
  </sheetData>
  <printOptions horizontalCentered="1"/>
  <pageMargins left="0.7479166666666667" right="0.7479166666666667" top="1.18125" bottom="0.9840277777777777" header="0.5118055555555555" footer="0.5118055555555555"/>
  <pageSetup horizontalDpi="300" verticalDpi="300" orientation="portrait" paperSize="9"/>
  <headerFooter alignWithMargins="0">
    <oddHeader>&amp;L&amp;"Monotype Corsiva,Regular"&amp;16Joint Morris Organisations
The Morris Ring&amp;C&amp;"Monotype Corsiva,Regular"&amp;16&amp;A&amp;R&amp;"Monotype Corsiva,Regular"&amp;16Cambridge Morris Men</oddHeader>
    <oddFooter>&amp;L&amp;F&amp;Cpage &amp;P of &amp;N&amp;R&amp;T on &amp;D</oddFooter>
  </headerFooter>
</worksheet>
</file>

<file path=xl/worksheets/sheet2.xml><?xml version="1.0" encoding="utf-8"?>
<worksheet xmlns="http://schemas.openxmlformats.org/spreadsheetml/2006/main" xmlns:r="http://schemas.openxmlformats.org/officeDocument/2006/relationships">
  <dimension ref="A1:J147"/>
  <sheetViews>
    <sheetView zoomScale="150" zoomScaleNormal="150" workbookViewId="0" topLeftCell="A1">
      <pane ySplit="1" topLeftCell="A2" activePane="bottomLeft" state="frozen"/>
      <selection pane="topLeft" activeCell="A1" sqref="A1"/>
      <selection pane="bottomLeft" activeCell="B33" sqref="B33"/>
    </sheetView>
  </sheetViews>
  <sheetFormatPr defaultColWidth="9.140625" defaultRowHeight="12.75"/>
  <cols>
    <col min="1" max="1" width="14.28125" style="9" customWidth="1"/>
    <col min="2" max="2" width="5.57421875" style="9" customWidth="1"/>
    <col min="3" max="3" width="11.421875" style="10" customWidth="1"/>
    <col min="4" max="4" width="12.8515625" style="9" customWidth="1"/>
    <col min="5" max="5" width="10.7109375" style="9" customWidth="1"/>
    <col min="6" max="6" width="32.7109375" style="11" customWidth="1"/>
    <col min="7" max="7" width="9.28125" style="9" customWidth="1"/>
    <col min="8" max="8" width="11.28125" style="11" customWidth="1"/>
    <col min="9" max="9" width="5.8515625" style="12" customWidth="1"/>
    <col min="10" max="10" width="20.7109375" style="11" customWidth="1"/>
    <col min="11" max="20" width="1.7109375" style="9" customWidth="1"/>
    <col min="21" max="16384" width="9.140625" style="9" customWidth="1"/>
  </cols>
  <sheetData>
    <row r="1" spans="1:10" s="16" customFormat="1" ht="24.75">
      <c r="A1" s="13" t="s">
        <v>16</v>
      </c>
      <c r="B1" s="14" t="s">
        <v>17</v>
      </c>
      <c r="C1" s="15" t="s">
        <v>18</v>
      </c>
      <c r="D1" s="16" t="s">
        <v>19</v>
      </c>
      <c r="E1" s="16" t="s">
        <v>20</v>
      </c>
      <c r="F1" s="13" t="s">
        <v>21</v>
      </c>
      <c r="G1" s="16" t="s">
        <v>22</v>
      </c>
      <c r="H1" s="13" t="s">
        <v>23</v>
      </c>
      <c r="I1" s="17" t="s">
        <v>24</v>
      </c>
      <c r="J1" s="13" t="s">
        <v>25</v>
      </c>
    </row>
    <row r="2" spans="1:9" ht="12.75">
      <c r="A2" s="18"/>
      <c r="B2" s="19"/>
      <c r="C2" s="20" t="s">
        <v>26</v>
      </c>
      <c r="D2" s="21"/>
      <c r="E2" s="21"/>
      <c r="F2" s="22"/>
      <c r="G2" s="21"/>
      <c r="H2" s="22"/>
      <c r="I2" s="23"/>
    </row>
    <row r="3" spans="1:9" ht="12.75">
      <c r="A3" s="24">
        <v>41827</v>
      </c>
      <c r="B3" s="25"/>
      <c r="C3" s="26" t="s">
        <v>27</v>
      </c>
      <c r="D3" s="27" t="s">
        <v>28</v>
      </c>
      <c r="E3" s="27"/>
      <c r="F3" s="28" t="s">
        <v>29</v>
      </c>
      <c r="G3" s="27"/>
      <c r="H3" s="28"/>
      <c r="I3" s="29"/>
    </row>
    <row r="4" spans="1:9" ht="12.75">
      <c r="A4" s="30">
        <v>41815</v>
      </c>
      <c r="B4" s="31"/>
      <c r="C4" s="32" t="s">
        <v>30</v>
      </c>
      <c r="D4" s="33" t="s">
        <v>31</v>
      </c>
      <c r="E4" s="33"/>
      <c r="F4" s="34" t="s">
        <v>32</v>
      </c>
      <c r="G4" s="33" t="s">
        <v>33</v>
      </c>
      <c r="H4" s="35" t="s">
        <v>34</v>
      </c>
      <c r="I4" s="36" t="s">
        <v>35</v>
      </c>
    </row>
    <row r="5" spans="1:9" ht="12">
      <c r="A5" s="30">
        <v>41811</v>
      </c>
      <c r="B5" s="31"/>
      <c r="C5" s="32"/>
      <c r="D5" s="33"/>
      <c r="E5" s="33"/>
      <c r="F5" s="34"/>
      <c r="G5" s="33"/>
      <c r="H5" s="35"/>
      <c r="I5" s="36"/>
    </row>
    <row r="6" spans="1:9" ht="12">
      <c r="A6" s="30">
        <v>41804</v>
      </c>
      <c r="B6" s="31"/>
      <c r="C6" s="32"/>
      <c r="D6" s="33"/>
      <c r="E6" s="33"/>
      <c r="F6" s="34"/>
      <c r="G6" s="33"/>
      <c r="H6" s="35"/>
      <c r="I6" s="36"/>
    </row>
    <row r="7" spans="1:9" ht="12">
      <c r="A7" s="30">
        <v>41797</v>
      </c>
      <c r="B7" s="31"/>
      <c r="C7" s="32"/>
      <c r="D7" s="33"/>
      <c r="E7" s="33"/>
      <c r="F7" s="34"/>
      <c r="G7" s="33"/>
      <c r="H7" s="35"/>
      <c r="I7" s="36"/>
    </row>
    <row r="8" spans="1:9" ht="12.75">
      <c r="A8" s="30">
        <v>41790</v>
      </c>
      <c r="B8" s="31"/>
      <c r="C8" s="32" t="s">
        <v>36</v>
      </c>
      <c r="D8" s="33" t="s">
        <v>37</v>
      </c>
      <c r="E8" s="33" t="s">
        <v>38</v>
      </c>
      <c r="F8" s="34" t="s">
        <v>32</v>
      </c>
      <c r="G8" s="33" t="s">
        <v>39</v>
      </c>
      <c r="H8" s="35"/>
      <c r="I8" s="36"/>
    </row>
    <row r="9" spans="1:9" ht="12.75">
      <c r="A9" s="30">
        <v>41783</v>
      </c>
      <c r="B9" s="31"/>
      <c r="C9" s="32" t="s">
        <v>40</v>
      </c>
      <c r="D9" s="33"/>
      <c r="E9" s="33"/>
      <c r="F9" s="34" t="s">
        <v>41</v>
      </c>
      <c r="G9" s="33"/>
      <c r="H9" s="35"/>
      <c r="I9" s="36"/>
    </row>
    <row r="10" spans="1:9" ht="12">
      <c r="A10" s="30">
        <v>41776</v>
      </c>
      <c r="B10" s="31"/>
      <c r="C10" s="32"/>
      <c r="D10" s="33"/>
      <c r="E10" s="33"/>
      <c r="F10" s="34"/>
      <c r="G10" s="33"/>
      <c r="H10" s="35"/>
      <c r="I10" s="36"/>
    </row>
    <row r="11" spans="1:9" s="11" customFormat="1" ht="24.75" customHeight="1">
      <c r="A11" s="37">
        <v>41769</v>
      </c>
      <c r="B11" s="38">
        <v>0.6666666666666666</v>
      </c>
      <c r="C11" s="39" t="s">
        <v>42</v>
      </c>
      <c r="D11" s="38">
        <f>B11+4/6/24</f>
        <v>0.6944444444444444</v>
      </c>
      <c r="E11" s="40" t="s">
        <v>43</v>
      </c>
      <c r="F11" s="40" t="s">
        <v>44</v>
      </c>
      <c r="G11" s="40" t="s">
        <v>45</v>
      </c>
      <c r="H11" s="35"/>
      <c r="I11" s="36"/>
    </row>
    <row r="12" spans="1:9" s="11" customFormat="1" ht="24.75">
      <c r="A12" s="37">
        <v>41769</v>
      </c>
      <c r="B12" s="38">
        <f>D13+10/60/24</f>
        <v>0.6145833333333333</v>
      </c>
      <c r="C12" s="39"/>
      <c r="D12" s="38">
        <f>B12+45/60/24</f>
        <v>0.6458333333333333</v>
      </c>
      <c r="E12" s="41" t="s">
        <v>46</v>
      </c>
      <c r="F12" s="40" t="s">
        <v>47</v>
      </c>
      <c r="G12" s="40"/>
      <c r="H12" s="35"/>
      <c r="I12" s="36"/>
    </row>
    <row r="13" spans="1:9" s="11" customFormat="1" ht="24.75">
      <c r="A13" s="37">
        <v>41769</v>
      </c>
      <c r="B13" s="38">
        <f>D14+10/60/24</f>
        <v>0.5763888888888888</v>
      </c>
      <c r="C13" s="39"/>
      <c r="D13" s="38">
        <f>B13+45/60/24</f>
        <v>0.6076388888888888</v>
      </c>
      <c r="E13" s="41" t="s">
        <v>46</v>
      </c>
      <c r="F13" s="40" t="s">
        <v>47</v>
      </c>
      <c r="G13" s="40"/>
      <c r="H13" s="35"/>
      <c r="I13" s="36"/>
    </row>
    <row r="14" spans="1:9" s="11" customFormat="1" ht="24.75">
      <c r="A14" s="37">
        <v>41769</v>
      </c>
      <c r="B14" s="38">
        <f>D15+10/60/24</f>
        <v>0.5347222222222222</v>
      </c>
      <c r="C14" s="39" t="s">
        <v>48</v>
      </c>
      <c r="D14" s="38">
        <f>B14+50/60/24</f>
        <v>0.5694444444444444</v>
      </c>
      <c r="E14" s="41" t="s">
        <v>46</v>
      </c>
      <c r="F14" s="40" t="s">
        <v>47</v>
      </c>
      <c r="G14" s="40"/>
      <c r="H14" s="35"/>
      <c r="I14" s="36"/>
    </row>
    <row r="15" spans="1:9" s="11" customFormat="1" ht="24.75">
      <c r="A15" s="37">
        <v>41769</v>
      </c>
      <c r="B15" s="38">
        <f>D16+10/60/24</f>
        <v>0.4930555555555555</v>
      </c>
      <c r="C15" s="39" t="s">
        <v>49</v>
      </c>
      <c r="D15" s="38">
        <f>B15+50/60/24</f>
        <v>0.5277777777777778</v>
      </c>
      <c r="E15" s="41" t="s">
        <v>46</v>
      </c>
      <c r="F15" s="40" t="s">
        <v>47</v>
      </c>
      <c r="G15" s="40"/>
      <c r="H15" s="35"/>
      <c r="I15" s="36"/>
    </row>
    <row r="16" spans="1:9" s="11" customFormat="1" ht="24.75">
      <c r="A16" s="37">
        <v>41769</v>
      </c>
      <c r="B16" s="38">
        <f>D17+10/60/24</f>
        <v>0.4548611111111111</v>
      </c>
      <c r="C16" s="39"/>
      <c r="D16" s="38">
        <f>B16+45/60/24</f>
        <v>0.4861111111111111</v>
      </c>
      <c r="E16" s="41" t="s">
        <v>46</v>
      </c>
      <c r="F16" s="40" t="s">
        <v>47</v>
      </c>
      <c r="G16" s="40"/>
      <c r="H16" s="35"/>
      <c r="I16" s="36"/>
    </row>
    <row r="17" spans="1:9" ht="12.75">
      <c r="A17" s="37">
        <v>41769</v>
      </c>
      <c r="B17" s="42">
        <v>0.4166666666666667</v>
      </c>
      <c r="C17" s="43" t="s">
        <v>50</v>
      </c>
      <c r="D17" s="38">
        <f>B17+45/60/24</f>
        <v>0.4479166666666667</v>
      </c>
      <c r="E17" s="41" t="s">
        <v>46</v>
      </c>
      <c r="F17" s="40" t="s">
        <v>47</v>
      </c>
      <c r="G17" s="41" t="s">
        <v>39</v>
      </c>
      <c r="H17" s="35"/>
      <c r="I17" s="36"/>
    </row>
    <row r="18" spans="1:9" ht="12">
      <c r="A18" s="30">
        <v>41762</v>
      </c>
      <c r="B18" s="31"/>
      <c r="C18" s="32" t="s">
        <v>51</v>
      </c>
      <c r="D18" s="33"/>
      <c r="E18" s="33"/>
      <c r="F18" s="34"/>
      <c r="G18" s="33"/>
      <c r="H18" s="35"/>
      <c r="I18" s="36"/>
    </row>
    <row r="19" spans="1:9" ht="12">
      <c r="A19" s="30">
        <v>41755</v>
      </c>
      <c r="B19" s="31"/>
      <c r="C19" s="32" t="s">
        <v>52</v>
      </c>
      <c r="D19" s="33"/>
      <c r="E19" s="33"/>
      <c r="F19" s="34"/>
      <c r="G19" s="33"/>
      <c r="H19" s="35"/>
      <c r="I19" s="36"/>
    </row>
    <row r="20" spans="1:9" ht="12">
      <c r="A20" s="30">
        <v>41748</v>
      </c>
      <c r="B20" s="31"/>
      <c r="C20" s="32" t="s">
        <v>53</v>
      </c>
      <c r="D20" s="33"/>
      <c r="E20" s="33"/>
      <c r="F20" s="34"/>
      <c r="G20" s="33"/>
      <c r="H20" s="35"/>
      <c r="I20" s="36"/>
    </row>
    <row r="21" spans="1:9" ht="12">
      <c r="A21" s="30">
        <v>41741</v>
      </c>
      <c r="B21" s="31"/>
      <c r="C21" s="32"/>
      <c r="D21" s="33"/>
      <c r="E21" s="33"/>
      <c r="F21" s="34"/>
      <c r="G21" s="33"/>
      <c r="H21" s="35"/>
      <c r="I21" s="44"/>
    </row>
    <row r="22" spans="1:9" ht="12">
      <c r="A22" s="45">
        <f>CEILING(DATE(2014,4,1),7)</f>
        <v>41734</v>
      </c>
      <c r="B22" s="46"/>
      <c r="C22" s="47" t="s">
        <v>54</v>
      </c>
      <c r="D22" s="48"/>
      <c r="E22" s="48" t="s">
        <v>55</v>
      </c>
      <c r="F22" s="48" t="s">
        <v>56</v>
      </c>
      <c r="G22" s="48" t="s">
        <v>57</v>
      </c>
      <c r="H22" s="49"/>
      <c r="I22" s="50">
        <v>41303</v>
      </c>
    </row>
    <row r="23" spans="1:9" ht="12">
      <c r="A23" s="18"/>
      <c r="B23" s="19"/>
      <c r="C23" s="51"/>
      <c r="D23" s="21"/>
      <c r="E23" s="21"/>
      <c r="F23" s="22"/>
      <c r="G23" s="21"/>
      <c r="H23" s="22"/>
      <c r="I23" s="23"/>
    </row>
    <row r="24" spans="1:9" ht="12">
      <c r="A24" s="18"/>
      <c r="B24" s="19"/>
      <c r="C24" s="51"/>
      <c r="D24" s="21"/>
      <c r="E24" s="21"/>
      <c r="F24" s="22"/>
      <c r="G24" s="21"/>
      <c r="H24" s="22"/>
      <c r="I24" s="23"/>
    </row>
    <row r="27" spans="1:9" ht="12.75">
      <c r="A27" s="52" t="s">
        <v>58</v>
      </c>
      <c r="B27" s="19"/>
      <c r="C27" s="51"/>
      <c r="D27" s="21"/>
      <c r="E27" s="21"/>
      <c r="F27" s="22" t="s">
        <v>59</v>
      </c>
      <c r="G27" s="21"/>
      <c r="H27" s="22"/>
      <c r="I27" s="23" t="str">
        <f>A27</f>
        <v>OUTSTANDING ISSUES</v>
      </c>
    </row>
    <row r="28" spans="1:9" ht="12.75">
      <c r="A28" s="18"/>
      <c r="B28" s="19"/>
      <c r="C28" s="51"/>
      <c r="D28" s="21"/>
      <c r="E28" s="21"/>
      <c r="F28" s="22" t="s">
        <v>60</v>
      </c>
      <c r="G28" s="21"/>
      <c r="H28" s="22"/>
      <c r="I28" s="23">
        <f>A28</f>
        <v>0</v>
      </c>
    </row>
    <row r="29" spans="1:9" ht="12.75">
      <c r="A29" s="18"/>
      <c r="B29" s="19"/>
      <c r="C29" s="51"/>
      <c r="D29" s="21"/>
      <c r="E29" s="21"/>
      <c r="F29" s="22" t="s">
        <v>61</v>
      </c>
      <c r="G29" s="21"/>
      <c r="H29" s="22"/>
      <c r="I29" s="23">
        <f>A29</f>
        <v>0</v>
      </c>
    </row>
    <row r="30" spans="1:9" ht="12.75">
      <c r="A30" s="18"/>
      <c r="B30" s="19"/>
      <c r="C30" s="51"/>
      <c r="D30" s="21"/>
      <c r="E30" s="21"/>
      <c r="F30" s="22" t="s">
        <v>62</v>
      </c>
      <c r="G30" s="21"/>
      <c r="H30" s="22"/>
      <c r="I30" s="23">
        <f>A30</f>
        <v>0</v>
      </c>
    </row>
    <row r="31" spans="1:9" ht="12.75">
      <c r="A31" s="18"/>
      <c r="B31" s="19"/>
      <c r="C31" s="51"/>
      <c r="D31" s="21"/>
      <c r="E31" s="21"/>
      <c r="F31" s="22" t="s">
        <v>63</v>
      </c>
      <c r="G31" s="21"/>
      <c r="H31" s="22"/>
      <c r="I31" s="23">
        <f>A31</f>
        <v>0</v>
      </c>
    </row>
    <row r="32" spans="1:9" ht="12">
      <c r="A32" s="18"/>
      <c r="B32" s="19"/>
      <c r="C32" s="51"/>
      <c r="D32" s="21"/>
      <c r="E32" s="21"/>
      <c r="F32" s="22"/>
      <c r="G32" s="21"/>
      <c r="H32" s="22"/>
      <c r="I32" s="23">
        <f>A32</f>
        <v>0</v>
      </c>
    </row>
    <row r="33" spans="1:10" ht="12.75">
      <c r="A33" s="53">
        <v>41723</v>
      </c>
      <c r="B33" s="54"/>
      <c r="C33" s="55"/>
      <c r="D33" s="56"/>
      <c r="E33" s="57"/>
      <c r="F33" s="58" t="s">
        <v>64</v>
      </c>
      <c r="G33" s="57" t="s">
        <v>39</v>
      </c>
      <c r="H33" s="58"/>
      <c r="I33" s="59">
        <f>A33</f>
        <v>41723</v>
      </c>
      <c r="J33" s="58"/>
    </row>
    <row r="34" spans="1:10" ht="12.75">
      <c r="A34" s="53">
        <v>41723</v>
      </c>
      <c r="B34" s="54">
        <v>0.40138888888888885</v>
      </c>
      <c r="C34" s="55" t="s">
        <v>65</v>
      </c>
      <c r="D34" s="56" t="s">
        <v>66</v>
      </c>
      <c r="E34" s="57"/>
      <c r="F34" s="58" t="s">
        <v>67</v>
      </c>
      <c r="G34" s="57" t="s">
        <v>39</v>
      </c>
      <c r="H34" s="58" t="s">
        <v>68</v>
      </c>
      <c r="I34" s="59"/>
      <c r="J34" s="58"/>
    </row>
    <row r="35" spans="1:10" ht="12.75">
      <c r="A35" s="53">
        <v>41721</v>
      </c>
      <c r="B35" s="54">
        <v>0.9069444444444444</v>
      </c>
      <c r="C35" s="55" t="s">
        <v>65</v>
      </c>
      <c r="D35" s="56" t="s">
        <v>69</v>
      </c>
      <c r="E35" s="57" t="s">
        <v>2</v>
      </c>
      <c r="F35" s="58" t="s">
        <v>70</v>
      </c>
      <c r="G35" s="57" t="s">
        <v>71</v>
      </c>
      <c r="H35" s="58"/>
      <c r="I35" s="59">
        <f>A35</f>
        <v>41721</v>
      </c>
      <c r="J35" s="58"/>
    </row>
    <row r="36" spans="1:10" ht="12.75">
      <c r="A36" s="53">
        <v>41719</v>
      </c>
      <c r="B36" s="54">
        <v>0.8881944444444444</v>
      </c>
      <c r="C36" s="55" t="s">
        <v>65</v>
      </c>
      <c r="D36" s="56" t="s">
        <v>69</v>
      </c>
      <c r="E36" s="57"/>
      <c r="F36" s="58" t="s">
        <v>72</v>
      </c>
      <c r="G36" s="57" t="s">
        <v>71</v>
      </c>
      <c r="H36" s="58"/>
      <c r="I36" s="59">
        <f>A36</f>
        <v>41719</v>
      </c>
      <c r="J36" s="58"/>
    </row>
    <row r="37" spans="1:10" ht="12.75">
      <c r="A37" s="53">
        <v>41712</v>
      </c>
      <c r="B37" s="54">
        <v>0.7916666666666666</v>
      </c>
      <c r="C37" s="55" t="s">
        <v>65</v>
      </c>
      <c r="D37" s="56" t="s">
        <v>73</v>
      </c>
      <c r="E37" s="57"/>
      <c r="F37" s="58" t="s">
        <v>74</v>
      </c>
      <c r="G37" s="57" t="s">
        <v>39</v>
      </c>
      <c r="H37" s="58" t="s">
        <v>75</v>
      </c>
      <c r="I37" s="59">
        <f>A37</f>
        <v>41712</v>
      </c>
      <c r="J37" s="58"/>
    </row>
    <row r="38" spans="1:10" ht="12.75">
      <c r="A38" s="53">
        <v>41712</v>
      </c>
      <c r="B38" s="54"/>
      <c r="C38" s="55" t="s">
        <v>65</v>
      </c>
      <c r="D38" s="56" t="s">
        <v>76</v>
      </c>
      <c r="E38" s="57"/>
      <c r="F38" s="58" t="s">
        <v>77</v>
      </c>
      <c r="G38" s="57" t="s">
        <v>39</v>
      </c>
      <c r="H38" s="58" t="s">
        <v>78</v>
      </c>
      <c r="I38" s="59">
        <f>A38</f>
        <v>41712</v>
      </c>
      <c r="J38" s="58"/>
    </row>
    <row r="39" spans="1:10" ht="12.75">
      <c r="A39" s="53">
        <v>41709</v>
      </c>
      <c r="B39" s="54"/>
      <c r="C39" s="55" t="s">
        <v>79</v>
      </c>
      <c r="D39" s="56" t="s">
        <v>80</v>
      </c>
      <c r="E39" s="57"/>
      <c r="F39" s="58" t="s">
        <v>81</v>
      </c>
      <c r="G39" s="57" t="s">
        <v>39</v>
      </c>
      <c r="H39" s="58" t="s">
        <v>33</v>
      </c>
      <c r="I39" s="59">
        <f>A39</f>
        <v>41709</v>
      </c>
      <c r="J39" s="58"/>
    </row>
    <row r="40" spans="1:10" ht="12.75">
      <c r="A40" s="53">
        <v>41702</v>
      </c>
      <c r="B40" s="54">
        <v>0.6236111111111111</v>
      </c>
      <c r="C40" s="55" t="s">
        <v>65</v>
      </c>
      <c r="D40" s="56" t="s">
        <v>82</v>
      </c>
      <c r="E40" s="57"/>
      <c r="F40" s="58" t="s">
        <v>83</v>
      </c>
      <c r="G40" s="57" t="s">
        <v>39</v>
      </c>
      <c r="H40" s="58" t="s">
        <v>84</v>
      </c>
      <c r="I40" s="59">
        <v>41719</v>
      </c>
      <c r="J40" s="58"/>
    </row>
    <row r="41" spans="1:10" ht="12.75">
      <c r="A41" s="53">
        <v>41701</v>
      </c>
      <c r="B41" s="54">
        <v>0.8826388888888889</v>
      </c>
      <c r="C41" s="55" t="s">
        <v>65</v>
      </c>
      <c r="D41" s="56" t="s">
        <v>69</v>
      </c>
      <c r="E41" s="57"/>
      <c r="F41" s="58" t="s">
        <v>85</v>
      </c>
      <c r="G41" s="57" t="s">
        <v>86</v>
      </c>
      <c r="H41" s="58"/>
      <c r="I41" s="59">
        <f>A41</f>
        <v>41701</v>
      </c>
      <c r="J41" s="58"/>
    </row>
    <row r="42" spans="1:10" ht="12.75">
      <c r="A42" s="53">
        <v>41701</v>
      </c>
      <c r="B42" s="54">
        <v>0.7868055555555555</v>
      </c>
      <c r="C42" s="55" t="s">
        <v>87</v>
      </c>
      <c r="D42" s="56" t="s">
        <v>82</v>
      </c>
      <c r="E42" s="57"/>
      <c r="F42" s="58" t="s">
        <v>88</v>
      </c>
      <c r="G42" s="57" t="s">
        <v>39</v>
      </c>
      <c r="H42" s="58" t="s">
        <v>89</v>
      </c>
      <c r="I42" s="59"/>
      <c r="J42" s="58"/>
    </row>
    <row r="43" spans="1:10" ht="12.75">
      <c r="A43" s="53">
        <v>41698</v>
      </c>
      <c r="B43" s="54">
        <v>0.5465277777777778</v>
      </c>
      <c r="C43" s="55" t="s">
        <v>65</v>
      </c>
      <c r="D43" s="56" t="s">
        <v>90</v>
      </c>
      <c r="E43" s="57"/>
      <c r="F43" s="58" t="s">
        <v>91</v>
      </c>
      <c r="G43" s="57" t="s">
        <v>39</v>
      </c>
      <c r="H43" s="58" t="s">
        <v>92</v>
      </c>
      <c r="I43" s="59"/>
      <c r="J43" s="58"/>
    </row>
    <row r="44" spans="1:10" ht="12.75">
      <c r="A44" s="53">
        <v>41698</v>
      </c>
      <c r="B44" s="54">
        <v>0.5125</v>
      </c>
      <c r="C44" s="55" t="s">
        <v>65</v>
      </c>
      <c r="D44" s="56" t="s">
        <v>69</v>
      </c>
      <c r="E44" s="57"/>
      <c r="F44" s="58" t="s">
        <v>93</v>
      </c>
      <c r="G44" s="57" t="s">
        <v>39</v>
      </c>
      <c r="H44" s="58" t="s">
        <v>94</v>
      </c>
      <c r="I44" s="59"/>
      <c r="J44" s="58"/>
    </row>
    <row r="45" spans="1:10" ht="12.75">
      <c r="A45" s="53">
        <v>41697</v>
      </c>
      <c r="B45" s="54">
        <v>0.875</v>
      </c>
      <c r="C45" s="55" t="s">
        <v>87</v>
      </c>
      <c r="D45" s="56"/>
      <c r="E45" s="57"/>
      <c r="F45" s="58" t="s">
        <v>95</v>
      </c>
      <c r="G45" s="57" t="s">
        <v>39</v>
      </c>
      <c r="H45" s="58" t="s">
        <v>96</v>
      </c>
      <c r="I45" s="59">
        <f>A45</f>
        <v>41697</v>
      </c>
      <c r="J45" s="58"/>
    </row>
    <row r="46" spans="1:10" ht="24.75">
      <c r="A46" s="53">
        <v>41695</v>
      </c>
      <c r="B46" s="54">
        <v>0.7291666666666666</v>
      </c>
      <c r="C46" s="55" t="s">
        <v>97</v>
      </c>
      <c r="D46" s="56" t="s">
        <v>98</v>
      </c>
      <c r="E46" s="9" t="s">
        <v>99</v>
      </c>
      <c r="F46" s="58" t="s">
        <v>100</v>
      </c>
      <c r="G46" s="57" t="s">
        <v>39</v>
      </c>
      <c r="H46" s="58"/>
      <c r="I46" s="59">
        <f>A46</f>
        <v>41695</v>
      </c>
      <c r="J46" s="58"/>
    </row>
    <row r="47" spans="1:10" ht="12.75">
      <c r="A47" s="53">
        <v>41695</v>
      </c>
      <c r="B47" s="54">
        <v>0.7048611111111112</v>
      </c>
      <c r="C47" s="55" t="s">
        <v>65</v>
      </c>
      <c r="D47" s="56" t="s">
        <v>90</v>
      </c>
      <c r="F47" s="58" t="s">
        <v>101</v>
      </c>
      <c r="G47" s="57" t="s">
        <v>39</v>
      </c>
      <c r="H47" s="58" t="s">
        <v>102</v>
      </c>
      <c r="I47" s="59">
        <f>A47</f>
        <v>41695</v>
      </c>
      <c r="J47" s="58"/>
    </row>
    <row r="48" spans="1:10" ht="12.75">
      <c r="A48" s="53">
        <v>41694</v>
      </c>
      <c r="B48" s="54">
        <v>17.58</v>
      </c>
      <c r="C48" s="55" t="s">
        <v>65</v>
      </c>
      <c r="D48" s="56" t="s">
        <v>73</v>
      </c>
      <c r="F48" s="58" t="s">
        <v>103</v>
      </c>
      <c r="G48" s="57" t="s">
        <v>39</v>
      </c>
      <c r="H48" s="58" t="s">
        <v>33</v>
      </c>
      <c r="I48" s="59">
        <f>A48</f>
        <v>41694</v>
      </c>
      <c r="J48" s="58"/>
    </row>
    <row r="49" spans="1:10" ht="12.75">
      <c r="A49" s="53">
        <v>41694</v>
      </c>
      <c r="B49" s="54">
        <v>0.4583333333333333</v>
      </c>
      <c r="C49" s="55" t="s">
        <v>65</v>
      </c>
      <c r="D49" s="56" t="s">
        <v>66</v>
      </c>
      <c r="E49" s="57" t="s">
        <v>104</v>
      </c>
      <c r="F49" s="58" t="s">
        <v>105</v>
      </c>
      <c r="G49" s="57"/>
      <c r="H49" s="58"/>
      <c r="I49" s="59">
        <f>A49</f>
        <v>41694</v>
      </c>
      <c r="J49" s="58"/>
    </row>
    <row r="50" spans="1:10" ht="12.75">
      <c r="A50" s="53">
        <v>41691</v>
      </c>
      <c r="B50" s="54">
        <v>0.6805555555555555</v>
      </c>
      <c r="C50" s="55" t="s">
        <v>65</v>
      </c>
      <c r="D50" s="56" t="s">
        <v>106</v>
      </c>
      <c r="E50" s="57" t="s">
        <v>107</v>
      </c>
      <c r="F50" s="58" t="s">
        <v>108</v>
      </c>
      <c r="G50" s="57"/>
      <c r="H50" s="58"/>
      <c r="I50" s="59">
        <f>A50</f>
        <v>41691</v>
      </c>
      <c r="J50" s="58"/>
    </row>
    <row r="51" spans="1:10" ht="12.75">
      <c r="A51" s="53">
        <v>41690</v>
      </c>
      <c r="B51" s="54">
        <v>13.56</v>
      </c>
      <c r="C51" s="55" t="s">
        <v>65</v>
      </c>
      <c r="D51" s="56" t="s">
        <v>109</v>
      </c>
      <c r="E51" s="57"/>
      <c r="F51" s="58" t="s">
        <v>110</v>
      </c>
      <c r="G51" s="57" t="s">
        <v>39</v>
      </c>
      <c r="H51" s="58" t="s">
        <v>111</v>
      </c>
      <c r="I51" s="59">
        <f>A51</f>
        <v>41690</v>
      </c>
      <c r="J51" s="58"/>
    </row>
    <row r="52" spans="1:10" ht="12.75">
      <c r="A52" s="53">
        <v>41689</v>
      </c>
      <c r="B52" s="54">
        <v>0.5194444444444445</v>
      </c>
      <c r="C52" s="55" t="s">
        <v>65</v>
      </c>
      <c r="D52" s="56" t="s">
        <v>112</v>
      </c>
      <c r="E52" s="57"/>
      <c r="F52" s="58" t="s">
        <v>113</v>
      </c>
      <c r="G52" s="57" t="s">
        <v>39</v>
      </c>
      <c r="H52" s="58" t="s">
        <v>114</v>
      </c>
      <c r="I52" s="59">
        <f>A52</f>
        <v>41689</v>
      </c>
      <c r="J52" s="58"/>
    </row>
    <row r="53" spans="1:10" ht="12.75">
      <c r="A53" s="53">
        <v>41687</v>
      </c>
      <c r="B53" s="54">
        <v>10.28</v>
      </c>
      <c r="C53" s="55" t="s">
        <v>65</v>
      </c>
      <c r="D53" s="56" t="s">
        <v>115</v>
      </c>
      <c r="E53" s="57"/>
      <c r="F53" s="58" t="s">
        <v>116</v>
      </c>
      <c r="G53" s="57" t="s">
        <v>114</v>
      </c>
      <c r="H53" s="58" t="s">
        <v>111</v>
      </c>
      <c r="I53" s="59">
        <f>A53</f>
        <v>41687</v>
      </c>
      <c r="J53" s="58"/>
    </row>
    <row r="54" spans="1:10" ht="12.75">
      <c r="A54" s="53">
        <v>41682</v>
      </c>
      <c r="B54" s="54">
        <v>0.3770833333333334</v>
      </c>
      <c r="C54" s="55" t="s">
        <v>65</v>
      </c>
      <c r="D54" s="56" t="s">
        <v>115</v>
      </c>
      <c r="E54" s="57"/>
      <c r="F54" s="58" t="s">
        <v>117</v>
      </c>
      <c r="G54" s="57" t="s">
        <v>114</v>
      </c>
      <c r="H54" s="58"/>
      <c r="I54" s="59">
        <f>A54</f>
        <v>41682</v>
      </c>
      <c r="J54" s="58"/>
    </row>
    <row r="55" spans="1:10" ht="12.75">
      <c r="A55" s="53">
        <v>41681</v>
      </c>
      <c r="B55" s="54">
        <v>14.24</v>
      </c>
      <c r="C55" s="55" t="s">
        <v>65</v>
      </c>
      <c r="D55" s="56" t="s">
        <v>82</v>
      </c>
      <c r="E55" s="57"/>
      <c r="F55" s="58" t="s">
        <v>118</v>
      </c>
      <c r="G55" s="57" t="s">
        <v>39</v>
      </c>
      <c r="H55" s="58" t="s">
        <v>94</v>
      </c>
      <c r="I55" s="59">
        <f>A55</f>
        <v>41681</v>
      </c>
      <c r="J55" s="58"/>
    </row>
    <row r="56" spans="1:10" ht="12.75">
      <c r="A56" s="53">
        <v>41677</v>
      </c>
      <c r="B56" s="54">
        <v>11.29</v>
      </c>
      <c r="C56" s="55" t="s">
        <v>65</v>
      </c>
      <c r="D56" s="56" t="s">
        <v>73</v>
      </c>
      <c r="E56" s="57"/>
      <c r="F56" s="58" t="s">
        <v>119</v>
      </c>
      <c r="G56" s="57" t="s">
        <v>120</v>
      </c>
      <c r="H56" s="58"/>
      <c r="I56" s="59">
        <f>A56</f>
        <v>41677</v>
      </c>
      <c r="J56" s="58"/>
    </row>
    <row r="57" spans="1:10" ht="12.75">
      <c r="A57" s="53">
        <v>41676</v>
      </c>
      <c r="B57" s="54"/>
      <c r="C57" s="10" t="s">
        <v>65</v>
      </c>
      <c r="D57" s="57" t="s">
        <v>82</v>
      </c>
      <c r="E57" s="57"/>
      <c r="F57" s="58" t="s">
        <v>121</v>
      </c>
      <c r="G57" s="57" t="s">
        <v>39</v>
      </c>
      <c r="H57" s="58" t="s">
        <v>114</v>
      </c>
      <c r="I57" s="59"/>
      <c r="J57" s="58"/>
    </row>
    <row r="58" spans="1:10" ht="12.75">
      <c r="A58" s="53">
        <v>41675</v>
      </c>
      <c r="B58" s="54"/>
      <c r="C58" s="10" t="s">
        <v>65</v>
      </c>
      <c r="D58" s="57" t="s">
        <v>69</v>
      </c>
      <c r="E58" s="57"/>
      <c r="F58" s="58" t="s">
        <v>122</v>
      </c>
      <c r="G58" s="9" t="s">
        <v>89</v>
      </c>
      <c r="H58" s="58"/>
      <c r="I58" s="59">
        <v>41677</v>
      </c>
      <c r="J58" s="58"/>
    </row>
    <row r="59" spans="1:10" ht="12.75">
      <c r="A59" s="53">
        <v>41675</v>
      </c>
      <c r="B59" s="54"/>
      <c r="C59" s="10" t="s">
        <v>65</v>
      </c>
      <c r="D59" s="9" t="s">
        <v>66</v>
      </c>
      <c r="E59" s="57"/>
      <c r="F59" s="58" t="s">
        <v>123</v>
      </c>
      <c r="G59" s="9" t="s">
        <v>39</v>
      </c>
      <c r="H59" s="58" t="s">
        <v>89</v>
      </c>
      <c r="I59" s="59">
        <v>41677</v>
      </c>
      <c r="J59" s="58"/>
    </row>
    <row r="60" spans="1:10" s="57" customFormat="1" ht="12.75">
      <c r="A60" s="53">
        <v>41672</v>
      </c>
      <c r="B60" s="54"/>
      <c r="C60" s="55" t="s">
        <v>124</v>
      </c>
      <c r="D60" s="57" t="s">
        <v>125</v>
      </c>
      <c r="F60" s="58" t="s">
        <v>126</v>
      </c>
      <c r="G60" s="57" t="s">
        <v>39</v>
      </c>
      <c r="H60" s="58"/>
      <c r="I60" s="59">
        <f>A60</f>
        <v>41672</v>
      </c>
      <c r="J60" s="58"/>
    </row>
    <row r="61" spans="1:8" ht="12.75">
      <c r="A61" s="60">
        <v>41670</v>
      </c>
      <c r="B61" s="61"/>
      <c r="C61" s="10" t="s">
        <v>65</v>
      </c>
      <c r="D61" s="9" t="s">
        <v>66</v>
      </c>
      <c r="F61" s="11" t="s">
        <v>127</v>
      </c>
      <c r="G61" s="9" t="s">
        <v>39</v>
      </c>
      <c r="H61" s="11" t="s">
        <v>128</v>
      </c>
    </row>
    <row r="62" spans="1:8" ht="12.75">
      <c r="A62" s="60">
        <v>41670</v>
      </c>
      <c r="B62" s="61"/>
      <c r="C62" s="10" t="s">
        <v>65</v>
      </c>
      <c r="D62" s="9" t="s">
        <v>129</v>
      </c>
      <c r="F62" s="11" t="s">
        <v>130</v>
      </c>
      <c r="G62" s="9" t="s">
        <v>39</v>
      </c>
      <c r="H62" s="11" t="s">
        <v>94</v>
      </c>
    </row>
    <row r="63" spans="1:9" ht="12.75">
      <c r="A63" s="60">
        <v>41669</v>
      </c>
      <c r="B63" s="61"/>
      <c r="C63" s="10" t="s">
        <v>125</v>
      </c>
      <c r="F63" s="11" t="s">
        <v>131</v>
      </c>
      <c r="G63" s="9" t="s">
        <v>33</v>
      </c>
      <c r="H63" s="11" t="s">
        <v>39</v>
      </c>
      <c r="I63" s="12">
        <f>A63</f>
        <v>41669</v>
      </c>
    </row>
    <row r="64" spans="1:8" ht="12.75">
      <c r="A64" s="60">
        <v>41668</v>
      </c>
      <c r="B64" s="61">
        <v>0.5833333333333334</v>
      </c>
      <c r="C64" s="10" t="s">
        <v>87</v>
      </c>
      <c r="F64" s="11" t="s">
        <v>132</v>
      </c>
      <c r="G64" s="9" t="s">
        <v>39</v>
      </c>
      <c r="H64" s="11" t="s">
        <v>92</v>
      </c>
    </row>
    <row r="65" spans="1:9" ht="12.75">
      <c r="A65" s="60">
        <v>41667</v>
      </c>
      <c r="B65" s="61">
        <v>0.7854166666666668</v>
      </c>
      <c r="C65" s="10" t="s">
        <v>65</v>
      </c>
      <c r="D65" s="9" t="s">
        <v>76</v>
      </c>
      <c r="F65" s="11" t="s">
        <v>133</v>
      </c>
      <c r="G65" s="9" t="s">
        <v>134</v>
      </c>
      <c r="I65" s="12">
        <v>41668</v>
      </c>
    </row>
    <row r="66" spans="1:9" ht="24.75">
      <c r="A66" s="60">
        <v>41666</v>
      </c>
      <c r="B66" s="61">
        <v>0.7972222222222222</v>
      </c>
      <c r="C66" s="10" t="s">
        <v>65</v>
      </c>
      <c r="D66" s="9" t="s">
        <v>69</v>
      </c>
      <c r="F66" s="11" t="s">
        <v>135</v>
      </c>
      <c r="G66" s="9" t="s">
        <v>136</v>
      </c>
      <c r="I66" s="12">
        <v>41668</v>
      </c>
    </row>
    <row r="67" spans="1:9" ht="12.75">
      <c r="A67" s="60">
        <v>41664</v>
      </c>
      <c r="B67" s="61">
        <v>0.5243055555555556</v>
      </c>
      <c r="C67" s="10" t="s">
        <v>65</v>
      </c>
      <c r="D67" s="9" t="s">
        <v>66</v>
      </c>
      <c r="F67" s="11" t="s">
        <v>137</v>
      </c>
      <c r="G67" s="9" t="s">
        <v>94</v>
      </c>
      <c r="H67" s="11" t="s">
        <v>39</v>
      </c>
      <c r="I67" s="12">
        <v>41666</v>
      </c>
    </row>
    <row r="68" spans="1:9" ht="12.75">
      <c r="A68" s="60">
        <v>41663</v>
      </c>
      <c r="B68" s="61">
        <v>0.7819444444444444</v>
      </c>
      <c r="C68" s="10" t="s">
        <v>65</v>
      </c>
      <c r="D68" s="9" t="s">
        <v>138</v>
      </c>
      <c r="F68" s="11" t="s">
        <v>139</v>
      </c>
      <c r="G68" s="9" t="s">
        <v>39</v>
      </c>
      <c r="H68" s="11" t="s">
        <v>92</v>
      </c>
      <c r="I68" s="12">
        <v>41668</v>
      </c>
    </row>
    <row r="69" spans="1:9" ht="12.75">
      <c r="A69" s="60">
        <v>41663</v>
      </c>
      <c r="B69" s="61">
        <v>0.5090277777777777</v>
      </c>
      <c r="C69" s="10" t="s">
        <v>65</v>
      </c>
      <c r="D69" s="9" t="s">
        <v>69</v>
      </c>
      <c r="F69" s="11" t="s">
        <v>140</v>
      </c>
      <c r="G69" s="9" t="s">
        <v>120</v>
      </c>
      <c r="I69" s="12">
        <v>41668</v>
      </c>
    </row>
    <row r="70" spans="1:7" ht="12.75">
      <c r="A70" s="60">
        <v>41662</v>
      </c>
      <c r="B70" s="61">
        <v>0.7930555555555556</v>
      </c>
      <c r="C70" s="10" t="s">
        <v>65</v>
      </c>
      <c r="D70" s="9" t="s">
        <v>73</v>
      </c>
      <c r="F70" s="11" t="s">
        <v>141</v>
      </c>
      <c r="G70" s="9" t="s">
        <v>120</v>
      </c>
    </row>
    <row r="71" spans="1:9" ht="12.75">
      <c r="A71" s="60">
        <v>41662</v>
      </c>
      <c r="B71" s="61">
        <v>0.782638888888889</v>
      </c>
      <c r="C71" s="10" t="s">
        <v>65</v>
      </c>
      <c r="D71" s="9" t="s">
        <v>69</v>
      </c>
      <c r="F71" s="11" t="s">
        <v>142</v>
      </c>
      <c r="G71" s="9" t="s">
        <v>136</v>
      </c>
      <c r="I71" s="12">
        <v>41668</v>
      </c>
    </row>
    <row r="72" spans="1:9" ht="12.75">
      <c r="A72" s="60">
        <v>41662</v>
      </c>
      <c r="B72" s="61">
        <v>0.7194444444444444</v>
      </c>
      <c r="C72" s="10" t="s">
        <v>65</v>
      </c>
      <c r="D72" s="9" t="s">
        <v>138</v>
      </c>
      <c r="F72" s="11" t="s">
        <v>143</v>
      </c>
      <c r="G72" s="9" t="s">
        <v>39</v>
      </c>
      <c r="H72" s="11" t="s">
        <v>136</v>
      </c>
      <c r="I72" s="12">
        <v>41668</v>
      </c>
    </row>
    <row r="73" spans="1:8" ht="12.75">
      <c r="A73" s="60">
        <v>41662</v>
      </c>
      <c r="B73" s="61">
        <v>0.5569444444444445</v>
      </c>
      <c r="C73" s="62" t="s">
        <v>65</v>
      </c>
      <c r="D73" s="63" t="s">
        <v>66</v>
      </c>
      <c r="F73" s="64" t="s">
        <v>144</v>
      </c>
      <c r="G73" s="9" t="s">
        <v>39</v>
      </c>
      <c r="H73" s="11" t="s">
        <v>96</v>
      </c>
    </row>
    <row r="74" spans="1:7" ht="12.75">
      <c r="A74" s="60">
        <v>41662</v>
      </c>
      <c r="B74" s="61">
        <v>0.4166666666666667</v>
      </c>
      <c r="C74" s="10" t="s">
        <v>87</v>
      </c>
      <c r="F74" s="11" t="s">
        <v>145</v>
      </c>
      <c r="G74" s="9" t="s">
        <v>96</v>
      </c>
    </row>
    <row r="75" spans="1:8" ht="12.75">
      <c r="A75" s="60">
        <v>41661</v>
      </c>
      <c r="B75" s="61">
        <v>0.8125</v>
      </c>
      <c r="C75" s="10" t="s">
        <v>87</v>
      </c>
      <c r="F75" s="11" t="s">
        <v>146</v>
      </c>
      <c r="G75" s="9" t="s">
        <v>39</v>
      </c>
      <c r="H75" s="11" t="s">
        <v>147</v>
      </c>
    </row>
    <row r="76" spans="1:8" ht="12.75">
      <c r="A76" s="60">
        <v>41661</v>
      </c>
      <c r="B76" s="61">
        <v>0.4263888888888889</v>
      </c>
      <c r="C76" s="10" t="s">
        <v>65</v>
      </c>
      <c r="D76" s="9" t="s">
        <v>76</v>
      </c>
      <c r="E76" s="9" t="s">
        <v>87</v>
      </c>
      <c r="F76" s="64" t="s">
        <v>148</v>
      </c>
      <c r="G76" s="9" t="s">
        <v>39</v>
      </c>
      <c r="H76" s="11" t="s">
        <v>114</v>
      </c>
    </row>
    <row r="77" spans="1:8" ht="12.75">
      <c r="A77" s="60">
        <v>41661</v>
      </c>
      <c r="B77" s="61">
        <v>0.375</v>
      </c>
      <c r="C77" s="10" t="s">
        <v>149</v>
      </c>
      <c r="D77" s="9" t="s">
        <v>66</v>
      </c>
      <c r="F77" s="11" t="s">
        <v>150</v>
      </c>
      <c r="G77" s="9" t="s">
        <v>39</v>
      </c>
      <c r="H77" s="11" t="s">
        <v>114</v>
      </c>
    </row>
    <row r="78" spans="1:8" ht="12.75">
      <c r="A78" s="60">
        <v>41660</v>
      </c>
      <c r="B78" s="61">
        <v>0.8333333333333334</v>
      </c>
      <c r="C78" s="10" t="s">
        <v>151</v>
      </c>
      <c r="D78" s="9" t="s">
        <v>152</v>
      </c>
      <c r="F78" s="11" t="s">
        <v>153</v>
      </c>
      <c r="G78" s="9" t="s">
        <v>39</v>
      </c>
      <c r="H78" s="11" t="s">
        <v>33</v>
      </c>
    </row>
    <row r="79" spans="1:7" ht="12.75">
      <c r="A79" s="60">
        <v>41660</v>
      </c>
      <c r="B79" s="61">
        <v>0.7916666666666666</v>
      </c>
      <c r="C79" s="10" t="s">
        <v>65</v>
      </c>
      <c r="D79" s="9" t="s">
        <v>154</v>
      </c>
      <c r="F79" s="11" t="s">
        <v>155</v>
      </c>
      <c r="G79" s="9" t="s">
        <v>120</v>
      </c>
    </row>
    <row r="80" spans="1:7" ht="12.75">
      <c r="A80" s="60">
        <v>41660</v>
      </c>
      <c r="B80" s="61">
        <v>0.7270833333333333</v>
      </c>
      <c r="C80" s="10" t="s">
        <v>65</v>
      </c>
      <c r="D80" s="9" t="s">
        <v>69</v>
      </c>
      <c r="F80" s="11" t="s">
        <v>156</v>
      </c>
      <c r="G80" s="9" t="s">
        <v>89</v>
      </c>
    </row>
    <row r="81" spans="1:7" ht="12.75">
      <c r="A81" s="60">
        <v>41660</v>
      </c>
      <c r="B81" s="61">
        <v>0.45694444444444443</v>
      </c>
      <c r="C81" s="10" t="s">
        <v>65</v>
      </c>
      <c r="D81" s="9" t="s">
        <v>69</v>
      </c>
      <c r="F81" s="11" t="s">
        <v>157</v>
      </c>
      <c r="G81" s="9" t="s">
        <v>158</v>
      </c>
    </row>
    <row r="82" spans="1:7" ht="12.75">
      <c r="A82" s="60">
        <v>41660</v>
      </c>
      <c r="B82" s="61">
        <v>0.4548611111111111</v>
      </c>
      <c r="C82" s="10" t="s">
        <v>65</v>
      </c>
      <c r="D82" s="9" t="s">
        <v>69</v>
      </c>
      <c r="F82" s="11" t="s">
        <v>159</v>
      </c>
      <c r="G82" s="9" t="s">
        <v>158</v>
      </c>
    </row>
    <row r="83" spans="1:7" ht="12.75">
      <c r="A83" s="60">
        <v>41659</v>
      </c>
      <c r="B83" s="61">
        <v>0.70625</v>
      </c>
      <c r="C83" s="10" t="s">
        <v>65</v>
      </c>
      <c r="D83" s="9" t="s">
        <v>69</v>
      </c>
      <c r="F83" s="11" t="s">
        <v>159</v>
      </c>
      <c r="G83" s="9" t="s">
        <v>71</v>
      </c>
    </row>
    <row r="84" spans="1:7" ht="12.75">
      <c r="A84" s="60">
        <v>41659</v>
      </c>
      <c r="B84" s="61">
        <v>0.6145833333333334</v>
      </c>
      <c r="C84" s="10" t="s">
        <v>65</v>
      </c>
      <c r="D84" s="9" t="s">
        <v>69</v>
      </c>
      <c r="F84" s="11" t="s">
        <v>160</v>
      </c>
      <c r="G84" s="9" t="s">
        <v>71</v>
      </c>
    </row>
    <row r="85" spans="1:8" ht="12.75">
      <c r="A85" s="60">
        <v>41659</v>
      </c>
      <c r="B85" s="61">
        <v>0.5854166666666667</v>
      </c>
      <c r="C85" s="10" t="s">
        <v>65</v>
      </c>
      <c r="D85" s="9" t="s">
        <v>69</v>
      </c>
      <c r="F85" s="11" t="s">
        <v>161</v>
      </c>
      <c r="G85" s="9" t="s">
        <v>120</v>
      </c>
      <c r="H85" s="11" t="s">
        <v>71</v>
      </c>
    </row>
    <row r="86" spans="1:7" ht="12.75">
      <c r="A86" s="60">
        <v>41659</v>
      </c>
      <c r="B86" s="61">
        <v>0.5833333333333334</v>
      </c>
      <c r="C86" s="10" t="s">
        <v>65</v>
      </c>
      <c r="D86" s="9" t="s">
        <v>69</v>
      </c>
      <c r="F86" s="11" t="s">
        <v>162</v>
      </c>
      <c r="G86" s="9" t="s">
        <v>120</v>
      </c>
    </row>
    <row r="87" spans="1:8" ht="12.75">
      <c r="A87" s="60">
        <v>41659</v>
      </c>
      <c r="B87" s="61">
        <v>0.6020833333333333</v>
      </c>
      <c r="C87" s="10" t="s">
        <v>65</v>
      </c>
      <c r="D87" s="9" t="s">
        <v>138</v>
      </c>
      <c r="F87" s="11" t="s">
        <v>163</v>
      </c>
      <c r="G87" s="9" t="s">
        <v>39</v>
      </c>
      <c r="H87" s="11" t="s">
        <v>158</v>
      </c>
    </row>
    <row r="88" spans="1:8" ht="12.75">
      <c r="A88" s="60">
        <v>41659</v>
      </c>
      <c r="B88" s="61">
        <v>0.579861111111111</v>
      </c>
      <c r="C88" s="10" t="s">
        <v>65</v>
      </c>
      <c r="D88" s="9" t="s">
        <v>138</v>
      </c>
      <c r="F88" s="11" t="s">
        <v>164</v>
      </c>
      <c r="G88" s="9" t="s">
        <v>39</v>
      </c>
      <c r="H88" s="11" t="s">
        <v>120</v>
      </c>
    </row>
    <row r="89" spans="1:8" ht="12.75">
      <c r="A89" s="60">
        <v>41659</v>
      </c>
      <c r="B89" s="61">
        <v>0.5791666666666667</v>
      </c>
      <c r="C89" s="10" t="s">
        <v>65</v>
      </c>
      <c r="D89" s="9" t="s">
        <v>138</v>
      </c>
      <c r="F89" s="11" t="s">
        <v>165</v>
      </c>
      <c r="G89" s="9" t="s">
        <v>39</v>
      </c>
      <c r="H89" s="11" t="s">
        <v>158</v>
      </c>
    </row>
    <row r="90" spans="1:8" ht="12.75">
      <c r="A90" s="60">
        <v>41659</v>
      </c>
      <c r="B90" s="61">
        <v>0.5666666666666667</v>
      </c>
      <c r="C90" s="10" t="s">
        <v>65</v>
      </c>
      <c r="D90" s="9" t="s">
        <v>138</v>
      </c>
      <c r="F90" s="11" t="s">
        <v>166</v>
      </c>
      <c r="G90" s="9" t="s">
        <v>39</v>
      </c>
      <c r="H90" s="11" t="s">
        <v>89</v>
      </c>
    </row>
    <row r="91" spans="1:8" ht="36">
      <c r="A91" s="60">
        <v>41659</v>
      </c>
      <c r="B91" s="61">
        <v>0.4895833333333333</v>
      </c>
      <c r="C91" s="10" t="s">
        <v>87</v>
      </c>
      <c r="F91" s="65" t="s">
        <v>167</v>
      </c>
      <c r="G91" s="9" t="s">
        <v>39</v>
      </c>
      <c r="H91" s="11" t="s">
        <v>92</v>
      </c>
    </row>
    <row r="92" spans="1:7" ht="12.75">
      <c r="A92" s="60">
        <v>41639</v>
      </c>
      <c r="B92" s="61">
        <v>0.6069444444444444</v>
      </c>
      <c r="C92" s="10" t="s">
        <v>65</v>
      </c>
      <c r="D92" s="9" t="s">
        <v>69</v>
      </c>
      <c r="F92" s="11" t="s">
        <v>168</v>
      </c>
      <c r="G92" s="9" t="s">
        <v>169</v>
      </c>
    </row>
    <row r="93" spans="1:7" ht="12.75">
      <c r="A93" s="60">
        <v>41622</v>
      </c>
      <c r="B93" s="61"/>
      <c r="C93" s="10" t="s">
        <v>170</v>
      </c>
      <c r="D93" s="9" t="s">
        <v>171</v>
      </c>
      <c r="E93" s="66" t="s">
        <v>172</v>
      </c>
      <c r="F93" s="11" t="s">
        <v>173</v>
      </c>
      <c r="G93" s="9" t="s">
        <v>39</v>
      </c>
    </row>
    <row r="94" spans="1:8" ht="12.75">
      <c r="A94" s="60">
        <v>41620</v>
      </c>
      <c r="B94" s="61">
        <v>0.5361111111111111</v>
      </c>
      <c r="C94" s="10" t="s">
        <v>65</v>
      </c>
      <c r="D94" s="9" t="s">
        <v>69</v>
      </c>
      <c r="F94" s="11" t="s">
        <v>174</v>
      </c>
      <c r="G94" s="11" t="s">
        <v>175</v>
      </c>
      <c r="H94" s="11" t="s">
        <v>39</v>
      </c>
    </row>
    <row r="95" spans="1:9" ht="12.75">
      <c r="A95" s="60">
        <v>41620</v>
      </c>
      <c r="B95" s="61">
        <v>0.42569444444444443</v>
      </c>
      <c r="C95" s="10" t="s">
        <v>65</v>
      </c>
      <c r="D95" s="9" t="s">
        <v>69</v>
      </c>
      <c r="F95" s="11" t="s">
        <v>176</v>
      </c>
      <c r="G95" s="9" t="s">
        <v>92</v>
      </c>
      <c r="H95" s="11" t="s">
        <v>39</v>
      </c>
      <c r="I95" s="12">
        <v>41620</v>
      </c>
    </row>
    <row r="96" spans="1:9" ht="12.75">
      <c r="A96" s="60">
        <v>41619</v>
      </c>
      <c r="B96" s="61">
        <v>0.5354166666666667</v>
      </c>
      <c r="C96" s="10" t="s">
        <v>65</v>
      </c>
      <c r="D96" s="9" t="s">
        <v>82</v>
      </c>
      <c r="F96" s="11" t="s">
        <v>177</v>
      </c>
      <c r="G96" s="9" t="s">
        <v>39</v>
      </c>
      <c r="H96" s="11" t="s">
        <v>92</v>
      </c>
      <c r="I96" s="12">
        <v>41620</v>
      </c>
    </row>
    <row r="97" spans="1:9" ht="12.75">
      <c r="A97" s="60">
        <v>41614</v>
      </c>
      <c r="B97" s="61"/>
      <c r="C97" s="10" t="s">
        <v>65</v>
      </c>
      <c r="D97" s="9" t="s">
        <v>66</v>
      </c>
      <c r="F97" s="11" t="s">
        <v>178</v>
      </c>
      <c r="G97" s="9" t="s">
        <v>39</v>
      </c>
      <c r="H97" s="11" t="s">
        <v>134</v>
      </c>
      <c r="I97" s="12">
        <f>A97</f>
        <v>41614</v>
      </c>
    </row>
    <row r="98" spans="1:9" ht="12.75">
      <c r="A98" s="60">
        <v>41613</v>
      </c>
      <c r="B98" s="61"/>
      <c r="C98" s="10" t="s">
        <v>65</v>
      </c>
      <c r="D98" s="9" t="s">
        <v>179</v>
      </c>
      <c r="F98" s="11" t="s">
        <v>180</v>
      </c>
      <c r="G98" s="9" t="s">
        <v>39</v>
      </c>
      <c r="H98" s="11" t="s">
        <v>181</v>
      </c>
      <c r="I98" s="12">
        <f>A98</f>
        <v>41613</v>
      </c>
    </row>
    <row r="99" spans="1:9" ht="12.75">
      <c r="A99" s="60">
        <v>41613</v>
      </c>
      <c r="B99" s="61"/>
      <c r="C99" s="10" t="s">
        <v>65</v>
      </c>
      <c r="D99" s="9" t="s">
        <v>69</v>
      </c>
      <c r="F99" s="11" t="s">
        <v>182</v>
      </c>
      <c r="G99" s="9" t="s">
        <v>39</v>
      </c>
      <c r="I99" s="12">
        <f>A99</f>
        <v>41613</v>
      </c>
    </row>
    <row r="100" spans="1:9" ht="12.75">
      <c r="A100" s="60">
        <v>41613</v>
      </c>
      <c r="B100" s="61">
        <v>10.45</v>
      </c>
      <c r="C100" s="10" t="s">
        <v>65</v>
      </c>
      <c r="D100" s="9" t="s">
        <v>69</v>
      </c>
      <c r="F100" s="11" t="s">
        <v>183</v>
      </c>
      <c r="G100" s="9" t="s">
        <v>184</v>
      </c>
      <c r="H100" s="11" t="s">
        <v>39</v>
      </c>
      <c r="I100" s="12">
        <f>A100</f>
        <v>41613</v>
      </c>
    </row>
    <row r="101" spans="1:7" ht="12.75">
      <c r="A101" s="60">
        <v>41612</v>
      </c>
      <c r="B101" s="61"/>
      <c r="C101" s="10" t="s">
        <v>185</v>
      </c>
      <c r="D101" s="9" t="s">
        <v>186</v>
      </c>
      <c r="F101" s="11" t="s">
        <v>187</v>
      </c>
      <c r="G101" s="9" t="s">
        <v>39</v>
      </c>
    </row>
    <row r="102" spans="1:8" ht="12.75">
      <c r="A102" s="60">
        <v>41602</v>
      </c>
      <c r="B102" s="61">
        <v>0.6284722222222222</v>
      </c>
      <c r="C102" s="10" t="s">
        <v>65</v>
      </c>
      <c r="D102" s="9" t="s">
        <v>69</v>
      </c>
      <c r="F102" s="11" t="s">
        <v>188</v>
      </c>
      <c r="G102" s="9" t="s">
        <v>189</v>
      </c>
      <c r="H102" s="11" t="s">
        <v>39</v>
      </c>
    </row>
    <row r="103" spans="1:7" ht="12.75">
      <c r="A103" s="60">
        <v>41600</v>
      </c>
      <c r="B103" s="61"/>
      <c r="C103" s="10" t="s">
        <v>190</v>
      </c>
      <c r="D103" s="9" t="s">
        <v>191</v>
      </c>
      <c r="F103" s="11" t="s">
        <v>192</v>
      </c>
      <c r="G103" s="9" t="s">
        <v>39</v>
      </c>
    </row>
    <row r="104" spans="1:9" ht="12.75">
      <c r="A104" s="60">
        <v>41600</v>
      </c>
      <c r="B104" s="61">
        <v>0.9166666666666666</v>
      </c>
      <c r="C104" s="10" t="s">
        <v>65</v>
      </c>
      <c r="D104" s="9" t="s">
        <v>66</v>
      </c>
      <c r="F104" s="11" t="s">
        <v>193</v>
      </c>
      <c r="G104" s="9" t="s">
        <v>39</v>
      </c>
      <c r="I104" s="12">
        <v>41602</v>
      </c>
    </row>
    <row r="105" spans="1:7" ht="12.75">
      <c r="A105" s="60">
        <v>41600</v>
      </c>
      <c r="B105" s="61">
        <v>0.9131944444444445</v>
      </c>
      <c r="C105" s="10" t="s">
        <v>65</v>
      </c>
      <c r="D105" s="9" t="s">
        <v>66</v>
      </c>
      <c r="F105" s="11" t="s">
        <v>194</v>
      </c>
      <c r="G105" s="9" t="s">
        <v>39</v>
      </c>
    </row>
    <row r="106" spans="1:7" ht="12.75">
      <c r="A106" s="60">
        <v>41600</v>
      </c>
      <c r="B106" s="61">
        <v>0.9097222222222222</v>
      </c>
      <c r="C106" s="10" t="s">
        <v>65</v>
      </c>
      <c r="D106" s="9" t="s">
        <v>66</v>
      </c>
      <c r="F106" s="11" t="s">
        <v>195</v>
      </c>
      <c r="G106" s="9" t="s">
        <v>39</v>
      </c>
    </row>
    <row r="107" spans="1:9" ht="24.75">
      <c r="A107" s="67">
        <v>41578</v>
      </c>
      <c r="B107" s="19"/>
      <c r="C107" s="51" t="s">
        <v>196</v>
      </c>
      <c r="D107" s="21"/>
      <c r="E107" s="21"/>
      <c r="F107" s="22" t="s">
        <v>197</v>
      </c>
      <c r="G107" s="21" t="s">
        <v>92</v>
      </c>
      <c r="H107" s="22"/>
      <c r="I107" s="23"/>
    </row>
    <row r="108" spans="1:9" ht="12.75">
      <c r="A108" s="60">
        <v>41569</v>
      </c>
      <c r="B108" s="61">
        <v>0.2847222222222222</v>
      </c>
      <c r="C108" s="10" t="s">
        <v>65</v>
      </c>
      <c r="D108" s="9" t="s">
        <v>69</v>
      </c>
      <c r="F108" s="11" t="s">
        <v>198</v>
      </c>
      <c r="G108" s="9" t="s">
        <v>39</v>
      </c>
      <c r="H108" s="11" t="s">
        <v>102</v>
      </c>
      <c r="I108" s="12">
        <f>A108</f>
        <v>41569</v>
      </c>
    </row>
    <row r="109" spans="1:9" ht="24.75">
      <c r="A109" s="60">
        <v>41568</v>
      </c>
      <c r="B109" s="61">
        <v>0.5208333333333334</v>
      </c>
      <c r="C109" s="10" t="s">
        <v>87</v>
      </c>
      <c r="D109" s="9" t="s">
        <v>69</v>
      </c>
      <c r="F109" s="11" t="s">
        <v>199</v>
      </c>
      <c r="G109" s="9" t="s">
        <v>39</v>
      </c>
      <c r="H109" s="11" t="s">
        <v>102</v>
      </c>
      <c r="I109" s="12">
        <f>A109</f>
        <v>41568</v>
      </c>
    </row>
    <row r="110" spans="1:9" ht="12.75">
      <c r="A110" s="60">
        <v>41565</v>
      </c>
      <c r="B110" s="61">
        <v>0.6763888888888889</v>
      </c>
      <c r="C110" s="10" t="s">
        <v>200</v>
      </c>
      <c r="D110" s="9" t="s">
        <v>66</v>
      </c>
      <c r="F110" s="11" t="s">
        <v>201</v>
      </c>
      <c r="G110" s="9" t="s">
        <v>39</v>
      </c>
      <c r="H110" s="11" t="s">
        <v>102</v>
      </c>
      <c r="I110" s="12">
        <f>A110</f>
        <v>41565</v>
      </c>
    </row>
    <row r="111" spans="1:9" ht="36" customHeight="1">
      <c r="A111" s="67">
        <v>41519</v>
      </c>
      <c r="B111" s="19"/>
      <c r="C111" s="51" t="s">
        <v>202</v>
      </c>
      <c r="D111" s="21"/>
      <c r="E111" s="21"/>
      <c r="F111" s="22" t="s">
        <v>203</v>
      </c>
      <c r="G111" s="21" t="s">
        <v>39</v>
      </c>
      <c r="H111" s="22"/>
      <c r="I111" s="23"/>
    </row>
    <row r="112" spans="1:9" ht="12.75">
      <c r="A112" s="60">
        <v>41464</v>
      </c>
      <c r="B112" s="61">
        <v>17.43</v>
      </c>
      <c r="C112" s="10" t="s">
        <v>65</v>
      </c>
      <c r="D112" s="9" t="s">
        <v>69</v>
      </c>
      <c r="F112" s="11" t="s">
        <v>204</v>
      </c>
      <c r="G112" s="9" t="s">
        <v>39</v>
      </c>
      <c r="I112" s="12">
        <f>A112</f>
        <v>41464</v>
      </c>
    </row>
    <row r="113" spans="1:9" ht="12.75">
      <c r="A113" s="60">
        <v>41432</v>
      </c>
      <c r="B113" s="61">
        <v>0.7576388888888889</v>
      </c>
      <c r="C113" s="10" t="s">
        <v>65</v>
      </c>
      <c r="D113" s="9" t="s">
        <v>66</v>
      </c>
      <c r="F113" s="11" t="s">
        <v>205</v>
      </c>
      <c r="G113" s="9" t="s">
        <v>39</v>
      </c>
      <c r="H113" s="11" t="s">
        <v>206</v>
      </c>
      <c r="I113" s="12">
        <f>A113</f>
        <v>41432</v>
      </c>
    </row>
    <row r="114" spans="1:9" ht="12.75">
      <c r="A114" s="60">
        <v>41426</v>
      </c>
      <c r="B114" s="61"/>
      <c r="C114" s="10" t="s">
        <v>151</v>
      </c>
      <c r="D114" s="9" t="s">
        <v>152</v>
      </c>
      <c r="F114" s="11" t="s">
        <v>207</v>
      </c>
      <c r="G114" s="9" t="s">
        <v>39</v>
      </c>
      <c r="H114" s="11" t="s">
        <v>208</v>
      </c>
      <c r="I114" s="12">
        <f>A114</f>
        <v>41426</v>
      </c>
    </row>
    <row r="115" spans="1:9" ht="12.75">
      <c r="A115" s="60">
        <v>41425</v>
      </c>
      <c r="B115" s="61">
        <v>0.5854166666666667</v>
      </c>
      <c r="C115" s="10" t="s">
        <v>65</v>
      </c>
      <c r="D115" s="9" t="s">
        <v>209</v>
      </c>
      <c r="F115" s="11" t="s">
        <v>210</v>
      </c>
      <c r="G115" s="9" t="s">
        <v>39</v>
      </c>
      <c r="H115" s="11" t="s">
        <v>211</v>
      </c>
      <c r="I115" s="12">
        <f>A115</f>
        <v>41425</v>
      </c>
    </row>
    <row r="116" spans="1:9" ht="24.75">
      <c r="A116" s="60">
        <v>41424</v>
      </c>
      <c r="B116" s="61"/>
      <c r="C116" s="10" t="s">
        <v>151</v>
      </c>
      <c r="D116" s="9" t="s">
        <v>209</v>
      </c>
      <c r="F116" s="11" t="s">
        <v>212</v>
      </c>
      <c r="G116" s="9" t="s">
        <v>39</v>
      </c>
      <c r="H116" s="11" t="s">
        <v>213</v>
      </c>
      <c r="I116" s="12">
        <f>A116</f>
        <v>41424</v>
      </c>
    </row>
    <row r="117" spans="1:9" ht="12.75">
      <c r="A117" s="60">
        <v>41422</v>
      </c>
      <c r="B117" s="61">
        <v>0.6548611111111111</v>
      </c>
      <c r="C117" s="10" t="s">
        <v>65</v>
      </c>
      <c r="D117" s="9" t="s">
        <v>214</v>
      </c>
      <c r="F117" s="11" t="s">
        <v>215</v>
      </c>
      <c r="G117" s="9" t="s">
        <v>216</v>
      </c>
      <c r="I117" s="12">
        <f>A117</f>
        <v>41422</v>
      </c>
    </row>
    <row r="118" spans="1:9" ht="12.75">
      <c r="A118" s="60">
        <v>41417</v>
      </c>
      <c r="B118" s="61">
        <v>0.7833333333333333</v>
      </c>
      <c r="C118" s="10" t="s">
        <v>65</v>
      </c>
      <c r="D118" s="9" t="s">
        <v>209</v>
      </c>
      <c r="F118" s="11" t="s">
        <v>217</v>
      </c>
      <c r="G118" s="9" t="s">
        <v>39</v>
      </c>
      <c r="H118" s="11" t="s">
        <v>218</v>
      </c>
      <c r="I118" s="12">
        <f>A118</f>
        <v>41417</v>
      </c>
    </row>
    <row r="119" spans="1:9" ht="24.75" customHeight="1">
      <c r="A119" s="60">
        <v>41417</v>
      </c>
      <c r="B119" s="61">
        <v>0.5902777777777778</v>
      </c>
      <c r="C119" s="10" t="s">
        <v>65</v>
      </c>
      <c r="D119" s="9" t="s">
        <v>209</v>
      </c>
      <c r="F119" s="11" t="s">
        <v>219</v>
      </c>
      <c r="G119" s="9" t="s">
        <v>39</v>
      </c>
      <c r="H119" s="11" t="s">
        <v>158</v>
      </c>
      <c r="I119" s="12">
        <f>A119</f>
        <v>41417</v>
      </c>
    </row>
    <row r="120" spans="1:9" ht="12.75">
      <c r="A120" s="60">
        <v>41416</v>
      </c>
      <c r="B120" s="61">
        <v>0.7611111111111111</v>
      </c>
      <c r="C120" s="10" t="s">
        <v>65</v>
      </c>
      <c r="D120" s="9" t="s">
        <v>209</v>
      </c>
      <c r="F120" s="11" t="s">
        <v>220</v>
      </c>
      <c r="G120" s="9" t="s">
        <v>39</v>
      </c>
      <c r="H120" s="11" t="s">
        <v>221</v>
      </c>
      <c r="I120" s="12">
        <f>A120</f>
        <v>41416</v>
      </c>
    </row>
    <row r="121" spans="1:9" ht="12.75">
      <c r="A121" s="60">
        <v>41332</v>
      </c>
      <c r="B121" s="61">
        <v>16.09</v>
      </c>
      <c r="C121" s="10" t="s">
        <v>65</v>
      </c>
      <c r="D121" s="9" t="s">
        <v>222</v>
      </c>
      <c r="F121" s="11" t="s">
        <v>223</v>
      </c>
      <c r="G121" s="9" t="s">
        <v>39</v>
      </c>
      <c r="H121" s="11" t="s">
        <v>224</v>
      </c>
      <c r="I121" s="12">
        <f>A121</f>
        <v>41332</v>
      </c>
    </row>
    <row r="122" spans="1:9" ht="12.75">
      <c r="A122" s="60">
        <v>41330</v>
      </c>
      <c r="B122" s="61">
        <v>0.5090277777777777</v>
      </c>
      <c r="C122" s="10" t="s">
        <v>69</v>
      </c>
      <c r="D122" s="9" t="s">
        <v>65</v>
      </c>
      <c r="F122" s="11" t="s">
        <v>225</v>
      </c>
      <c r="G122" s="9" t="s">
        <v>226</v>
      </c>
      <c r="H122" s="11" t="s">
        <v>39</v>
      </c>
      <c r="I122" s="12">
        <f>A122</f>
        <v>41330</v>
      </c>
    </row>
    <row r="123" spans="1:9" ht="12.75">
      <c r="A123" s="60">
        <v>41325</v>
      </c>
      <c r="B123" s="61">
        <v>0.6666666666666666</v>
      </c>
      <c r="C123" s="10" t="s">
        <v>87</v>
      </c>
      <c r="D123" s="9" t="s">
        <v>82</v>
      </c>
      <c r="F123" s="11">
        <v>0</v>
      </c>
      <c r="G123" s="9" t="s">
        <v>39</v>
      </c>
      <c r="H123" s="11" t="s">
        <v>226</v>
      </c>
      <c r="I123" s="12">
        <f>A123</f>
        <v>41325</v>
      </c>
    </row>
    <row r="124" spans="1:9" ht="12.75">
      <c r="A124" s="60">
        <v>41325</v>
      </c>
      <c r="B124" s="61">
        <v>0.5493055555555556</v>
      </c>
      <c r="C124" s="10" t="s">
        <v>69</v>
      </c>
      <c r="D124" s="9" t="s">
        <v>65</v>
      </c>
      <c r="F124" s="11" t="s">
        <v>227</v>
      </c>
      <c r="G124" s="9" t="s">
        <v>228</v>
      </c>
      <c r="H124" s="11" t="s">
        <v>39</v>
      </c>
      <c r="I124" s="12">
        <f>A124</f>
        <v>41325</v>
      </c>
    </row>
    <row r="125" spans="1:9" ht="12.75">
      <c r="A125" s="60">
        <v>41324</v>
      </c>
      <c r="B125" s="61">
        <v>0.4236111111111111</v>
      </c>
      <c r="C125" s="10" t="s">
        <v>87</v>
      </c>
      <c r="D125" s="9" t="s">
        <v>82</v>
      </c>
      <c r="F125" s="11" t="s">
        <v>229</v>
      </c>
      <c r="G125" s="9" t="s">
        <v>39</v>
      </c>
      <c r="H125" s="11" t="s">
        <v>92</v>
      </c>
      <c r="I125" s="12">
        <f>A125</f>
        <v>41324</v>
      </c>
    </row>
    <row r="126" spans="1:9" ht="12.75">
      <c r="A126" s="60">
        <v>41320</v>
      </c>
      <c r="B126" s="61">
        <v>0.936111111111111</v>
      </c>
      <c r="C126" s="10" t="s">
        <v>69</v>
      </c>
      <c r="D126" s="9" t="s">
        <v>65</v>
      </c>
      <c r="F126" s="11" t="s">
        <v>230</v>
      </c>
      <c r="G126" s="9" t="s">
        <v>39</v>
      </c>
      <c r="H126" s="11" t="s">
        <v>228</v>
      </c>
      <c r="I126" s="12">
        <f>A126</f>
        <v>41320</v>
      </c>
    </row>
    <row r="127" spans="1:9" ht="12.75">
      <c r="A127" s="60">
        <v>41320</v>
      </c>
      <c r="B127" s="61">
        <v>0.7270833333333333</v>
      </c>
      <c r="C127" s="10" t="s">
        <v>69</v>
      </c>
      <c r="D127" s="9" t="s">
        <v>65</v>
      </c>
      <c r="F127" s="11" t="s">
        <v>231</v>
      </c>
      <c r="G127" s="9" t="s">
        <v>228</v>
      </c>
      <c r="I127" s="12">
        <f>A127</f>
        <v>41320</v>
      </c>
    </row>
    <row r="128" spans="1:9" ht="12.75">
      <c r="A128" s="60">
        <v>41320</v>
      </c>
      <c r="B128" s="61">
        <v>0.7180555555555556</v>
      </c>
      <c r="C128" s="10" t="s">
        <v>232</v>
      </c>
      <c r="D128" s="9" t="s">
        <v>65</v>
      </c>
      <c r="F128" s="11" t="s">
        <v>233</v>
      </c>
      <c r="G128" s="9" t="s">
        <v>39</v>
      </c>
      <c r="H128" s="11" t="s">
        <v>228</v>
      </c>
      <c r="I128" s="12">
        <f>A128</f>
        <v>41320</v>
      </c>
    </row>
    <row r="129" spans="1:9" ht="12.75">
      <c r="A129" s="60">
        <v>41320</v>
      </c>
      <c r="B129" s="61">
        <v>0.40902777777777777</v>
      </c>
      <c r="C129" s="10" t="s">
        <v>69</v>
      </c>
      <c r="D129" s="9" t="s">
        <v>65</v>
      </c>
      <c r="F129" s="11" t="s">
        <v>234</v>
      </c>
      <c r="G129" s="9" t="s">
        <v>235</v>
      </c>
      <c r="I129" s="12">
        <f>A129</f>
        <v>41320</v>
      </c>
    </row>
    <row r="130" spans="1:9" ht="12.75">
      <c r="A130" s="60">
        <v>41320</v>
      </c>
      <c r="B130" s="61">
        <v>0.38958333333333334</v>
      </c>
      <c r="C130" s="10" t="s">
        <v>87</v>
      </c>
      <c r="D130" s="9" t="s">
        <v>82</v>
      </c>
      <c r="F130" s="11" t="s">
        <v>236</v>
      </c>
      <c r="G130" s="9" t="s">
        <v>39</v>
      </c>
      <c r="H130" s="11" t="s">
        <v>235</v>
      </c>
      <c r="I130" s="12">
        <f>A130</f>
        <v>41320</v>
      </c>
    </row>
    <row r="131" spans="1:10" ht="12.75">
      <c r="A131" s="60">
        <v>41317</v>
      </c>
      <c r="B131" s="61">
        <v>0.41180555555555554</v>
      </c>
      <c r="C131" s="10" t="s">
        <v>69</v>
      </c>
      <c r="D131" s="9" t="s">
        <v>65</v>
      </c>
      <c r="F131" s="11" t="s">
        <v>237</v>
      </c>
      <c r="G131" s="9" t="s">
        <v>235</v>
      </c>
      <c r="I131" s="12">
        <f>A131</f>
        <v>41317</v>
      </c>
      <c r="J131" s="9"/>
    </row>
    <row r="132" spans="1:10" ht="12.75">
      <c r="A132" s="60">
        <v>41316</v>
      </c>
      <c r="B132" s="61">
        <v>0.5215277777777778</v>
      </c>
      <c r="C132" s="10" t="s">
        <v>232</v>
      </c>
      <c r="D132" s="9" t="s">
        <v>238</v>
      </c>
      <c r="E132" s="68" t="s">
        <v>239</v>
      </c>
      <c r="F132" s="11" t="s">
        <v>233</v>
      </c>
      <c r="G132" s="9" t="s">
        <v>39</v>
      </c>
      <c r="H132" s="11" t="s">
        <v>235</v>
      </c>
      <c r="I132" s="12">
        <f>A132</f>
        <v>41316</v>
      </c>
      <c r="J132" s="69"/>
    </row>
    <row r="133" spans="1:10" ht="12.75">
      <c r="A133" s="60">
        <v>41316</v>
      </c>
      <c r="B133" s="61">
        <v>0.43125</v>
      </c>
      <c r="C133" s="10" t="s">
        <v>69</v>
      </c>
      <c r="D133" s="9" t="s">
        <v>65</v>
      </c>
      <c r="F133" s="11" t="s">
        <v>240</v>
      </c>
      <c r="G133" s="9" t="s">
        <v>226</v>
      </c>
      <c r="I133" s="12">
        <f>A133</f>
        <v>41316</v>
      </c>
      <c r="J133" s="9"/>
    </row>
    <row r="134" spans="1:9" s="9" customFormat="1" ht="12.75">
      <c r="A134" s="60">
        <v>41313</v>
      </c>
      <c r="B134" s="61">
        <v>0.7618055555555556</v>
      </c>
      <c r="C134" s="10" t="s">
        <v>232</v>
      </c>
      <c r="D134" s="9" t="s">
        <v>65</v>
      </c>
      <c r="F134" s="11" t="s">
        <v>233</v>
      </c>
      <c r="G134" s="9" t="s">
        <v>39</v>
      </c>
      <c r="H134" s="11" t="s">
        <v>226</v>
      </c>
      <c r="I134" s="12">
        <f>A134</f>
        <v>41313</v>
      </c>
    </row>
    <row r="135" spans="1:9" ht="12.75">
      <c r="A135" s="60">
        <v>41306</v>
      </c>
      <c r="B135" s="61">
        <v>0.48680555555555555</v>
      </c>
      <c r="C135" s="10" t="s">
        <v>241</v>
      </c>
      <c r="D135" s="9" t="s">
        <v>65</v>
      </c>
      <c r="F135" s="11" t="s">
        <v>242</v>
      </c>
      <c r="G135" s="9" t="s">
        <v>39</v>
      </c>
      <c r="H135" s="11" t="s">
        <v>243</v>
      </c>
      <c r="I135" s="12">
        <f>A135</f>
        <v>41306</v>
      </c>
    </row>
    <row r="136" spans="1:10" ht="12.75">
      <c r="A136" s="60">
        <v>41306</v>
      </c>
      <c r="B136" s="61">
        <v>0.4444444444444444</v>
      </c>
      <c r="C136" s="10" t="s">
        <v>69</v>
      </c>
      <c r="D136" s="9" t="s">
        <v>65</v>
      </c>
      <c r="F136" s="11" t="s">
        <v>244</v>
      </c>
      <c r="G136" s="9" t="s">
        <v>226</v>
      </c>
      <c r="I136" s="12">
        <f>A136</f>
        <v>41306</v>
      </c>
      <c r="J136" s="70" t="s">
        <v>245</v>
      </c>
    </row>
    <row r="137" spans="1:9" ht="12.75">
      <c r="A137" s="60">
        <v>41303</v>
      </c>
      <c r="B137" s="61">
        <v>0.5569444444444445</v>
      </c>
      <c r="C137" s="10" t="s">
        <v>232</v>
      </c>
      <c r="D137" s="9" t="s">
        <v>65</v>
      </c>
      <c r="F137" s="11" t="s">
        <v>246</v>
      </c>
      <c r="G137" s="9" t="s">
        <v>39</v>
      </c>
      <c r="H137" s="11" t="s">
        <v>247</v>
      </c>
      <c r="I137" s="12">
        <f>A137</f>
        <v>41303</v>
      </c>
    </row>
    <row r="138" spans="1:9" ht="12.75">
      <c r="A138" s="60">
        <v>41303</v>
      </c>
      <c r="B138" s="61">
        <v>0.5</v>
      </c>
      <c r="C138" s="10" t="s">
        <v>87</v>
      </c>
      <c r="D138" s="9" t="s">
        <v>248</v>
      </c>
      <c r="F138" s="11" t="s">
        <v>249</v>
      </c>
      <c r="G138" s="9" t="s">
        <v>39</v>
      </c>
      <c r="H138" s="11" t="s">
        <v>226</v>
      </c>
      <c r="I138" s="12">
        <f>A138</f>
        <v>41303</v>
      </c>
    </row>
    <row r="139" spans="1:10" ht="12.75">
      <c r="A139" s="60">
        <v>41302</v>
      </c>
      <c r="B139" s="61"/>
      <c r="C139" s="10" t="s">
        <v>250</v>
      </c>
      <c r="D139" s="9" t="s">
        <v>191</v>
      </c>
      <c r="F139" s="11" t="s">
        <v>251</v>
      </c>
      <c r="G139" s="9" t="s">
        <v>39</v>
      </c>
      <c r="I139" s="12">
        <f>A139</f>
        <v>41302</v>
      </c>
      <c r="J139" s="70" t="s">
        <v>15</v>
      </c>
    </row>
    <row r="140" spans="1:9" ht="12.75">
      <c r="A140" s="60">
        <v>41296</v>
      </c>
      <c r="B140" s="61">
        <v>0.625</v>
      </c>
      <c r="C140" s="10" t="s">
        <v>252</v>
      </c>
      <c r="D140" s="9" t="s">
        <v>253</v>
      </c>
      <c r="F140" s="11" t="s">
        <v>131</v>
      </c>
      <c r="G140" s="9" t="s">
        <v>33</v>
      </c>
      <c r="H140" s="11" t="s">
        <v>39</v>
      </c>
      <c r="I140" s="12">
        <f>A140</f>
        <v>41296</v>
      </c>
    </row>
    <row r="141" spans="1:9" ht="12.75">
      <c r="A141" s="60">
        <v>41246</v>
      </c>
      <c r="B141" s="61">
        <v>0.7576388888888889</v>
      </c>
      <c r="C141" s="10" t="s">
        <v>241</v>
      </c>
      <c r="D141" s="9" t="s">
        <v>65</v>
      </c>
      <c r="F141" s="11" t="s">
        <v>254</v>
      </c>
      <c r="G141" s="9" t="s">
        <v>39</v>
      </c>
      <c r="H141" s="11" t="s">
        <v>33</v>
      </c>
      <c r="I141" s="12">
        <f>A141</f>
        <v>41246</v>
      </c>
    </row>
    <row r="142" spans="1:9" ht="12.75">
      <c r="A142" s="60">
        <v>41246</v>
      </c>
      <c r="B142" s="61">
        <v>0.51875</v>
      </c>
      <c r="C142" s="10" t="s">
        <v>232</v>
      </c>
      <c r="D142" s="9" t="s">
        <v>65</v>
      </c>
      <c r="F142" s="11" t="s">
        <v>255</v>
      </c>
      <c r="G142" s="9" t="s">
        <v>158</v>
      </c>
      <c r="H142" s="11" t="s">
        <v>33</v>
      </c>
      <c r="I142" s="12">
        <f>A142</f>
        <v>41246</v>
      </c>
    </row>
    <row r="143" spans="1:9" ht="12.75">
      <c r="A143" s="60">
        <v>41241</v>
      </c>
      <c r="B143" s="61">
        <v>0.9548611111111112</v>
      </c>
      <c r="C143" s="10" t="s">
        <v>232</v>
      </c>
      <c r="D143" s="9" t="s">
        <v>65</v>
      </c>
      <c r="F143" s="11" t="s">
        <v>256</v>
      </c>
      <c r="G143" s="9" t="s">
        <v>39</v>
      </c>
      <c r="H143" s="11" t="s">
        <v>257</v>
      </c>
      <c r="I143" s="12">
        <f>A143</f>
        <v>41241</v>
      </c>
    </row>
    <row r="144" spans="1:9" ht="12.75">
      <c r="A144" s="60">
        <v>41240</v>
      </c>
      <c r="B144" s="61">
        <v>0.4826388888888889</v>
      </c>
      <c r="C144" s="10" t="s">
        <v>232</v>
      </c>
      <c r="D144" s="9" t="s">
        <v>65</v>
      </c>
      <c r="F144" s="11" t="s">
        <v>258</v>
      </c>
      <c r="G144" s="9" t="s">
        <v>259</v>
      </c>
      <c r="H144" s="11" t="s">
        <v>33</v>
      </c>
      <c r="I144" s="12">
        <v>41240</v>
      </c>
    </row>
    <row r="145" spans="1:9" ht="12.75">
      <c r="A145" s="60">
        <v>41234</v>
      </c>
      <c r="B145" s="61">
        <v>0.5951388888888889</v>
      </c>
      <c r="C145" s="10" t="s">
        <v>241</v>
      </c>
      <c r="D145" s="9" t="s">
        <v>65</v>
      </c>
      <c r="F145" s="11" t="s">
        <v>260</v>
      </c>
      <c r="G145" s="9" t="s">
        <v>33</v>
      </c>
      <c r="H145" s="71" t="s">
        <v>39</v>
      </c>
      <c r="I145" s="12">
        <v>41234</v>
      </c>
    </row>
    <row r="146" spans="1:9" ht="12.75">
      <c r="A146" s="60">
        <v>41234</v>
      </c>
      <c r="B146" s="61">
        <v>0.4701388888888889</v>
      </c>
      <c r="C146" s="10" t="s">
        <v>232</v>
      </c>
      <c r="D146" s="9" t="s">
        <v>65</v>
      </c>
      <c r="F146" s="11" t="s">
        <v>260</v>
      </c>
      <c r="G146" s="9" t="s">
        <v>158</v>
      </c>
      <c r="H146" s="71" t="s">
        <v>261</v>
      </c>
      <c r="I146" s="12">
        <v>41234</v>
      </c>
    </row>
    <row r="147" ht="12">
      <c r="A147" s="60"/>
    </row>
  </sheetData>
  <mergeCells count="2">
    <mergeCell ref="H4:H20"/>
    <mergeCell ref="I4:I20"/>
  </mergeCells>
  <hyperlinks>
    <hyperlink ref="E132" r:id="rId1" display="www.x-leisure.co.uk/contact-us"/>
    <hyperlink ref="J136" r:id="rId2" display="Buskers CoP"/>
    <hyperlink ref="J139" location="Archive" display="Archive"/>
  </hyperlinks>
  <printOptions horizontalCentered="1"/>
  <pageMargins left="0.7479166666666667" right="0.7479166666666667" top="1.18125" bottom="0.9840277777777777" header="0.5118055555555555" footer="0.5118055555555555"/>
  <pageSetup horizontalDpi="300" verticalDpi="300" orientation="landscape" paperSize="9"/>
  <headerFooter alignWithMargins="0">
    <oddHeader>&amp;L&amp;"Monotype Corsiva,Regular"&amp;16Joint Morris Organisations
The Morris Ring&amp;C&amp;"Monotype Corsiva,Regular"&amp;16Cambridge 2014 Day of Dance
&amp;A&amp;R&amp;"Monotype Corsiva,Regular"&amp;16Cambridge Morris Men
Graham Cox</oddHeader>
    <oddFooter>&amp;L&amp;F&amp;Cpage &amp;P of &amp;N&amp;R&amp;T on &amp;D</oddFooter>
  </headerFooter>
</worksheet>
</file>

<file path=xl/worksheets/sheet3.xml><?xml version="1.0" encoding="utf-8"?>
<worksheet xmlns="http://schemas.openxmlformats.org/spreadsheetml/2006/main" xmlns:r="http://schemas.openxmlformats.org/officeDocument/2006/relationships">
  <dimension ref="A1:L68"/>
  <sheetViews>
    <sheetView zoomScale="150" zoomScaleNormal="150" workbookViewId="0" topLeftCell="A1">
      <pane ySplit="1" topLeftCell="A2" activePane="bottomLeft" state="frozen"/>
      <selection pane="topLeft" activeCell="A1" sqref="A1"/>
      <selection pane="bottomLeft" activeCell="A2" sqref="A2"/>
    </sheetView>
  </sheetViews>
  <sheetFormatPr defaultColWidth="9.140625" defaultRowHeight="12.75"/>
  <cols>
    <col min="1" max="2" width="9.140625" style="9" customWidth="1"/>
    <col min="3" max="3" width="10.140625" style="9" customWidth="1"/>
    <col min="4" max="4" width="13.140625" style="9" customWidth="1"/>
    <col min="5" max="6" width="13.28125" style="9" customWidth="1"/>
    <col min="7" max="7" width="33.140625" style="9" customWidth="1"/>
    <col min="8" max="8" width="7.7109375" style="9" customWidth="1"/>
    <col min="9" max="10" width="5.7109375" style="9" customWidth="1"/>
    <col min="11" max="11" width="10.57421875" style="9" customWidth="1"/>
    <col min="12" max="20" width="1.7109375" style="9" customWidth="1"/>
    <col min="21" max="16384" width="9.140625" style="9" customWidth="1"/>
  </cols>
  <sheetData>
    <row r="1" spans="1:8" s="72" customFormat="1" ht="15" customHeight="1">
      <c r="A1" s="72" t="s">
        <v>262</v>
      </c>
      <c r="B1" s="73" t="s">
        <v>263</v>
      </c>
      <c r="C1" s="73"/>
      <c r="D1" s="72" t="s">
        <v>264</v>
      </c>
      <c r="E1" s="72" t="s">
        <v>265</v>
      </c>
      <c r="F1" s="72" t="s">
        <v>266</v>
      </c>
      <c r="G1" s="72" t="s">
        <v>267</v>
      </c>
      <c r="H1" s="72" t="s">
        <v>268</v>
      </c>
    </row>
    <row r="2" s="72" customFormat="1" ht="15" customHeight="1">
      <c r="A2" s="72" t="s">
        <v>269</v>
      </c>
    </row>
    <row r="3" spans="1:7" ht="15" customHeight="1">
      <c r="A3" s="74" t="s">
        <v>33</v>
      </c>
      <c r="B3" s="10" t="s">
        <v>270</v>
      </c>
      <c r="C3" s="9" t="s">
        <v>271</v>
      </c>
      <c r="D3" s="9" t="s">
        <v>272</v>
      </c>
      <c r="E3" s="9" t="s">
        <v>273</v>
      </c>
      <c r="F3" s="9" t="s">
        <v>274</v>
      </c>
      <c r="G3" s="68" t="s">
        <v>275</v>
      </c>
    </row>
    <row r="4" spans="1:7" ht="15" customHeight="1">
      <c r="A4" s="74" t="s">
        <v>259</v>
      </c>
      <c r="B4" s="10" t="s">
        <v>276</v>
      </c>
      <c r="C4" s="9" t="s">
        <v>277</v>
      </c>
      <c r="D4" s="9" t="s">
        <v>278</v>
      </c>
      <c r="F4" s="9" t="s">
        <v>279</v>
      </c>
      <c r="G4" s="68" t="s">
        <v>280</v>
      </c>
    </row>
    <row r="5" spans="1:7" ht="15" customHeight="1">
      <c r="A5" s="57" t="s">
        <v>39</v>
      </c>
      <c r="B5" s="10" t="s">
        <v>281</v>
      </c>
      <c r="C5" s="9" t="s">
        <v>282</v>
      </c>
      <c r="D5" s="9" t="s">
        <v>283</v>
      </c>
      <c r="E5" s="9" t="s">
        <v>284</v>
      </c>
      <c r="F5" s="9" t="s">
        <v>285</v>
      </c>
      <c r="G5" s="68" t="s">
        <v>286</v>
      </c>
    </row>
    <row r="6" spans="1:7" ht="15" customHeight="1">
      <c r="A6" s="57" t="s">
        <v>169</v>
      </c>
      <c r="B6" s="10" t="s">
        <v>287</v>
      </c>
      <c r="C6" s="9" t="s">
        <v>288</v>
      </c>
      <c r="D6" s="9" t="s">
        <v>289</v>
      </c>
      <c r="E6" s="9" t="s">
        <v>290</v>
      </c>
      <c r="F6" s="11" t="s">
        <v>291</v>
      </c>
      <c r="G6" s="68" t="s">
        <v>292</v>
      </c>
    </row>
    <row r="7" spans="1:7" ht="15" customHeight="1">
      <c r="A7" s="57" t="s">
        <v>134</v>
      </c>
      <c r="B7" s="10" t="s">
        <v>75</v>
      </c>
      <c r="C7" s="9" t="s">
        <v>293</v>
      </c>
      <c r="D7" s="9" t="s">
        <v>294</v>
      </c>
      <c r="E7" s="9" t="s">
        <v>295</v>
      </c>
      <c r="F7" s="9" t="s">
        <v>296</v>
      </c>
      <c r="G7" s="68" t="s">
        <v>297</v>
      </c>
    </row>
    <row r="8" spans="1:7" ht="15" customHeight="1">
      <c r="A8" s="57" t="s">
        <v>257</v>
      </c>
      <c r="B8" s="10"/>
      <c r="D8" s="9" t="s">
        <v>298</v>
      </c>
      <c r="G8" s="9" t="s">
        <v>299</v>
      </c>
    </row>
    <row r="9" spans="1:2" ht="15" customHeight="1">
      <c r="A9" s="72" t="s">
        <v>181</v>
      </c>
      <c r="B9" s="10"/>
    </row>
    <row r="10" spans="1:7" ht="15" customHeight="1">
      <c r="A10" s="74" t="s">
        <v>216</v>
      </c>
      <c r="B10" s="10" t="s">
        <v>300</v>
      </c>
      <c r="C10" s="9" t="s">
        <v>301</v>
      </c>
      <c r="D10" s="9" t="s">
        <v>302</v>
      </c>
      <c r="E10" s="9" t="s">
        <v>303</v>
      </c>
      <c r="F10" s="9" t="s">
        <v>304</v>
      </c>
      <c r="G10" s="68" t="s">
        <v>305</v>
      </c>
    </row>
    <row r="11" spans="1:7" ht="15" customHeight="1">
      <c r="A11" s="74" t="s">
        <v>158</v>
      </c>
      <c r="B11" s="10" t="s">
        <v>306</v>
      </c>
      <c r="C11" s="9" t="s">
        <v>307</v>
      </c>
      <c r="D11" s="9" t="s">
        <v>308</v>
      </c>
      <c r="E11" s="9" t="s">
        <v>309</v>
      </c>
      <c r="G11" s="68" t="s">
        <v>310</v>
      </c>
    </row>
    <row r="12" spans="1:8" ht="15" customHeight="1">
      <c r="A12" s="74" t="s">
        <v>89</v>
      </c>
      <c r="B12" s="10" t="s">
        <v>311</v>
      </c>
      <c r="C12" s="9" t="s">
        <v>312</v>
      </c>
      <c r="D12" s="9" t="s">
        <v>313</v>
      </c>
      <c r="E12" s="9" t="s">
        <v>314</v>
      </c>
      <c r="G12" s="68" t="s">
        <v>315</v>
      </c>
      <c r="H12" s="9" t="s">
        <v>316</v>
      </c>
    </row>
    <row r="13" spans="1:7" ht="15" customHeight="1">
      <c r="A13" s="74" t="s">
        <v>120</v>
      </c>
      <c r="B13" s="10" t="s">
        <v>317</v>
      </c>
      <c r="C13" s="9" t="s">
        <v>318</v>
      </c>
      <c r="D13" s="9" t="s">
        <v>319</v>
      </c>
      <c r="E13" s="9" t="s">
        <v>320</v>
      </c>
      <c r="F13" s="9" t="s">
        <v>321</v>
      </c>
      <c r="G13" s="68" t="s">
        <v>322</v>
      </c>
    </row>
    <row r="14" spans="1:7" ht="15" customHeight="1">
      <c r="A14" s="74" t="s">
        <v>136</v>
      </c>
      <c r="B14" s="10" t="s">
        <v>323</v>
      </c>
      <c r="C14" s="9" t="s">
        <v>324</v>
      </c>
      <c r="D14" s="9" t="s">
        <v>325</v>
      </c>
      <c r="E14" s="9" t="s">
        <v>326</v>
      </c>
      <c r="G14" s="68" t="s">
        <v>327</v>
      </c>
    </row>
    <row r="15" spans="1:7" ht="15" customHeight="1">
      <c r="A15" s="74" t="s">
        <v>328</v>
      </c>
      <c r="B15" s="10" t="s">
        <v>306</v>
      </c>
      <c r="C15" s="9" t="s">
        <v>329</v>
      </c>
      <c r="D15" s="9" t="s">
        <v>330</v>
      </c>
      <c r="G15" s="68" t="s">
        <v>331</v>
      </c>
    </row>
    <row r="16" spans="1:7" ht="15" customHeight="1">
      <c r="A16" s="74" t="s">
        <v>332</v>
      </c>
      <c r="B16" s="10" t="s">
        <v>270</v>
      </c>
      <c r="C16" s="9" t="s">
        <v>333</v>
      </c>
      <c r="D16" s="9" t="s">
        <v>334</v>
      </c>
      <c r="E16" s="9" t="s">
        <v>335</v>
      </c>
      <c r="F16" s="9" t="s">
        <v>336</v>
      </c>
      <c r="G16" s="68" t="s">
        <v>337</v>
      </c>
    </row>
    <row r="17" spans="1:8" ht="15" customHeight="1">
      <c r="A17" s="74" t="s">
        <v>86</v>
      </c>
      <c r="B17" s="10" t="s">
        <v>338</v>
      </c>
      <c r="C17" s="9" t="s">
        <v>339</v>
      </c>
      <c r="D17" s="9" t="s">
        <v>340</v>
      </c>
      <c r="G17" s="68" t="s">
        <v>341</v>
      </c>
      <c r="H17" s="9" t="s">
        <v>342</v>
      </c>
    </row>
    <row r="18" spans="1:7" ht="15" customHeight="1">
      <c r="A18" s="57" t="s">
        <v>343</v>
      </c>
      <c r="B18" s="10" t="s">
        <v>344</v>
      </c>
      <c r="C18" s="9" t="s">
        <v>345</v>
      </c>
      <c r="D18" s="9" t="s">
        <v>346</v>
      </c>
      <c r="E18" s="9" t="s">
        <v>347</v>
      </c>
      <c r="G18" s="68" t="s">
        <v>348</v>
      </c>
    </row>
    <row r="19" spans="1:8" ht="15" customHeight="1">
      <c r="A19" s="57" t="s">
        <v>349</v>
      </c>
      <c r="B19" s="10" t="s">
        <v>350</v>
      </c>
      <c r="C19" s="9" t="s">
        <v>351</v>
      </c>
      <c r="D19" s="9" t="s">
        <v>352</v>
      </c>
      <c r="E19" s="9" t="s">
        <v>353</v>
      </c>
      <c r="G19" s="68" t="s">
        <v>354</v>
      </c>
      <c r="H19" s="9" t="s">
        <v>355</v>
      </c>
    </row>
    <row r="20" spans="1:8" ht="15" customHeight="1">
      <c r="A20" s="74" t="s">
        <v>184</v>
      </c>
      <c r="B20" s="10" t="s">
        <v>356</v>
      </c>
      <c r="C20" s="9" t="s">
        <v>357</v>
      </c>
      <c r="D20" s="9" t="s">
        <v>358</v>
      </c>
      <c r="E20" s="9" t="s">
        <v>359</v>
      </c>
      <c r="G20" s="68" t="s">
        <v>360</v>
      </c>
      <c r="H20" s="9" t="s">
        <v>361</v>
      </c>
    </row>
    <row r="21" spans="1:8" ht="15" customHeight="1">
      <c r="A21" s="57" t="s">
        <v>211</v>
      </c>
      <c r="B21" s="10" t="s">
        <v>270</v>
      </c>
      <c r="C21" s="9" t="s">
        <v>362</v>
      </c>
      <c r="D21" s="9" t="s">
        <v>363</v>
      </c>
      <c r="E21" s="9" t="s">
        <v>364</v>
      </c>
      <c r="G21" s="68" t="s">
        <v>365</v>
      </c>
      <c r="H21" s="9" t="s">
        <v>366</v>
      </c>
    </row>
    <row r="22" spans="1:7" ht="12.75">
      <c r="A22" s="74" t="s">
        <v>84</v>
      </c>
      <c r="B22" s="10" t="s">
        <v>367</v>
      </c>
      <c r="C22" s="9" t="s">
        <v>368</v>
      </c>
      <c r="D22" s="9" t="s">
        <v>369</v>
      </c>
      <c r="F22" s="9" t="s">
        <v>370</v>
      </c>
      <c r="G22" s="70" t="s">
        <v>371</v>
      </c>
    </row>
    <row r="23" spans="1:8" ht="15" customHeight="1">
      <c r="A23" s="74" t="s">
        <v>372</v>
      </c>
      <c r="B23" s="10" t="s">
        <v>373</v>
      </c>
      <c r="C23" s="9" t="s">
        <v>374</v>
      </c>
      <c r="D23" s="9" t="s">
        <v>375</v>
      </c>
      <c r="E23" s="9" t="s">
        <v>376</v>
      </c>
      <c r="G23" s="68" t="s">
        <v>377</v>
      </c>
      <c r="H23" s="9" t="s">
        <v>378</v>
      </c>
    </row>
    <row r="24" spans="1:8" ht="15" customHeight="1">
      <c r="A24" s="74" t="s">
        <v>379</v>
      </c>
      <c r="B24" s="10" t="s">
        <v>380</v>
      </c>
      <c r="C24" s="9" t="s">
        <v>381</v>
      </c>
      <c r="D24" s="9" t="s">
        <v>382</v>
      </c>
      <c r="E24" s="9" t="s">
        <v>383</v>
      </c>
      <c r="F24" s="9" t="s">
        <v>384</v>
      </c>
      <c r="G24" s="68" t="s">
        <v>385</v>
      </c>
      <c r="H24" s="9" t="s">
        <v>386</v>
      </c>
    </row>
    <row r="25" spans="1:7" ht="15" customHeight="1">
      <c r="A25" s="74" t="s">
        <v>387</v>
      </c>
      <c r="B25" s="10" t="s">
        <v>270</v>
      </c>
      <c r="C25" s="9" t="s">
        <v>388</v>
      </c>
      <c r="D25" s="9" t="s">
        <v>389</v>
      </c>
      <c r="E25" s="9" t="s">
        <v>383</v>
      </c>
      <c r="G25" s="68" t="s">
        <v>390</v>
      </c>
    </row>
    <row r="26" spans="1:8" ht="15" customHeight="1">
      <c r="A26" s="74" t="s">
        <v>71</v>
      </c>
      <c r="B26" s="10" t="s">
        <v>391</v>
      </c>
      <c r="C26" s="9" t="s">
        <v>392</v>
      </c>
      <c r="D26" s="9" t="s">
        <v>393</v>
      </c>
      <c r="E26" s="9" t="s">
        <v>394</v>
      </c>
      <c r="F26" s="9" t="s">
        <v>395</v>
      </c>
      <c r="G26" s="68" t="s">
        <v>396</v>
      </c>
      <c r="H26" s="9" t="s">
        <v>397</v>
      </c>
    </row>
    <row r="27" spans="1:7" ht="15" customHeight="1">
      <c r="A27" s="74" t="s">
        <v>94</v>
      </c>
      <c r="B27" s="10" t="s">
        <v>398</v>
      </c>
      <c r="C27" s="9" t="s">
        <v>399</v>
      </c>
      <c r="D27" s="9" t="s">
        <v>400</v>
      </c>
      <c r="F27" s="9" t="s">
        <v>401</v>
      </c>
      <c r="G27" s="68" t="s">
        <v>402</v>
      </c>
    </row>
    <row r="28" spans="1:7" ht="15" customHeight="1">
      <c r="A28" s="72" t="s">
        <v>403</v>
      </c>
      <c r="B28" s="10"/>
      <c r="G28" s="68"/>
    </row>
    <row r="29" spans="1:7" ht="15" customHeight="1">
      <c r="A29" s="74" t="s">
        <v>404</v>
      </c>
      <c r="B29" s="10" t="s">
        <v>405</v>
      </c>
      <c r="C29" s="9" t="s">
        <v>406</v>
      </c>
      <c r="D29" s="9" t="s">
        <v>407</v>
      </c>
      <c r="E29" s="9" t="s">
        <v>408</v>
      </c>
      <c r="F29" s="9" t="s">
        <v>409</v>
      </c>
      <c r="G29" s="68" t="s">
        <v>410</v>
      </c>
    </row>
    <row r="30" spans="1:7" ht="15" customHeight="1">
      <c r="A30" s="74" t="s">
        <v>57</v>
      </c>
      <c r="B30" s="10" t="s">
        <v>411</v>
      </c>
      <c r="C30" s="9" t="s">
        <v>412</v>
      </c>
      <c r="D30" s="9" t="s">
        <v>413</v>
      </c>
      <c r="E30" s="9" t="s">
        <v>414</v>
      </c>
      <c r="G30" s="68" t="s">
        <v>415</v>
      </c>
    </row>
    <row r="31" spans="1:7" ht="15" customHeight="1">
      <c r="A31" s="74" t="s">
        <v>213</v>
      </c>
      <c r="B31" s="10" t="s">
        <v>416</v>
      </c>
      <c r="C31" s="9" t="s">
        <v>417</v>
      </c>
      <c r="D31" s="9" t="s">
        <v>418</v>
      </c>
      <c r="E31" s="9" t="s">
        <v>419</v>
      </c>
      <c r="F31" s="9" t="s">
        <v>420</v>
      </c>
      <c r="G31" s="68" t="s">
        <v>421</v>
      </c>
    </row>
    <row r="32" spans="1:7" ht="15" customHeight="1">
      <c r="A32" s="74" t="s">
        <v>422</v>
      </c>
      <c r="B32" s="10"/>
      <c r="D32" s="9" t="s">
        <v>423</v>
      </c>
      <c r="G32" s="68" t="s">
        <v>424</v>
      </c>
    </row>
    <row r="33" spans="1:7" ht="15" customHeight="1">
      <c r="A33" s="74" t="s">
        <v>425</v>
      </c>
      <c r="B33" s="10" t="s">
        <v>426</v>
      </c>
      <c r="C33" s="9" t="s">
        <v>427</v>
      </c>
      <c r="D33" s="9" t="s">
        <v>428</v>
      </c>
      <c r="E33" s="9" t="s">
        <v>429</v>
      </c>
      <c r="G33" s="68" t="s">
        <v>430</v>
      </c>
    </row>
    <row r="34" spans="1:7" ht="15" customHeight="1">
      <c r="A34" s="74" t="s">
        <v>431</v>
      </c>
      <c r="B34" s="10" t="s">
        <v>432</v>
      </c>
      <c r="D34" s="9" t="s">
        <v>428</v>
      </c>
      <c r="E34" s="9" t="s">
        <v>433</v>
      </c>
      <c r="G34" s="68"/>
    </row>
    <row r="35" spans="1:7" ht="15" customHeight="1">
      <c r="A35" s="74" t="s">
        <v>434</v>
      </c>
      <c r="B35" s="10" t="s">
        <v>435</v>
      </c>
      <c r="C35" s="9" t="s">
        <v>436</v>
      </c>
      <c r="D35" s="9" t="s">
        <v>437</v>
      </c>
      <c r="E35" s="9" t="s">
        <v>438</v>
      </c>
      <c r="F35" s="9" t="s">
        <v>439</v>
      </c>
      <c r="G35" s="68" t="s">
        <v>440</v>
      </c>
    </row>
    <row r="36" spans="1:7" ht="15" customHeight="1">
      <c r="A36" s="74" t="s">
        <v>128</v>
      </c>
      <c r="B36" s="10" t="s">
        <v>287</v>
      </c>
      <c r="C36" s="9" t="s">
        <v>441</v>
      </c>
      <c r="D36" s="9" t="s">
        <v>442</v>
      </c>
      <c r="E36" s="9" t="s">
        <v>443</v>
      </c>
      <c r="G36" s="68" t="s">
        <v>444</v>
      </c>
    </row>
    <row r="37" spans="1:2" ht="15" customHeight="1">
      <c r="A37" s="72" t="s">
        <v>445</v>
      </c>
      <c r="B37" s="10"/>
    </row>
    <row r="38" spans="1:7" ht="15" customHeight="1">
      <c r="A38" s="72"/>
      <c r="B38" s="10"/>
      <c r="D38" s="9" t="s">
        <v>446</v>
      </c>
      <c r="E38" s="9" t="s">
        <v>447</v>
      </c>
      <c r="G38" s="68" t="s">
        <v>448</v>
      </c>
    </row>
    <row r="39" spans="1:12" ht="24.75">
      <c r="A39" s="57" t="s">
        <v>226</v>
      </c>
      <c r="B39" s="10" t="s">
        <v>449</v>
      </c>
      <c r="C39" s="9" t="s">
        <v>450</v>
      </c>
      <c r="D39" s="11" t="s">
        <v>451</v>
      </c>
      <c r="E39" s="9" t="s">
        <v>452</v>
      </c>
      <c r="G39" s="68" t="s">
        <v>453</v>
      </c>
      <c r="H39" s="75" t="s">
        <v>454</v>
      </c>
      <c r="I39" s="75"/>
      <c r="J39" s="75"/>
      <c r="K39" s="75"/>
      <c r="L39" s="9" t="s">
        <v>455</v>
      </c>
    </row>
    <row r="40" spans="1:7" s="76" customFormat="1" ht="12.75">
      <c r="A40" s="76" t="s">
        <v>456</v>
      </c>
      <c r="B40" s="77" t="s">
        <v>405</v>
      </c>
      <c r="C40" s="76" t="s">
        <v>457</v>
      </c>
      <c r="D40" s="78" t="s">
        <v>458</v>
      </c>
      <c r="G40" s="79" t="s">
        <v>459</v>
      </c>
    </row>
    <row r="41" spans="1:8" s="76" customFormat="1" ht="12.75">
      <c r="A41" s="76" t="s">
        <v>460</v>
      </c>
      <c r="B41" s="77" t="s">
        <v>461</v>
      </c>
      <c r="C41" s="76" t="s">
        <v>462</v>
      </c>
      <c r="D41" s="78" t="s">
        <v>463</v>
      </c>
      <c r="E41" s="76" t="s">
        <v>464</v>
      </c>
      <c r="G41" s="79" t="s">
        <v>465</v>
      </c>
      <c r="H41" s="76" t="s">
        <v>466</v>
      </c>
    </row>
    <row r="42" spans="1:8" ht="12.75">
      <c r="A42" s="57" t="s">
        <v>92</v>
      </c>
      <c r="B42" s="10" t="s">
        <v>467</v>
      </c>
      <c r="C42" s="9" t="s">
        <v>468</v>
      </c>
      <c r="D42" s="11" t="s">
        <v>469</v>
      </c>
      <c r="E42" s="9" t="s">
        <v>470</v>
      </c>
      <c r="G42" s="68" t="s">
        <v>471</v>
      </c>
      <c r="H42" s="9" t="s">
        <v>472</v>
      </c>
    </row>
    <row r="43" spans="1:8" ht="12.75">
      <c r="A43" s="57" t="s">
        <v>175</v>
      </c>
      <c r="B43" s="10" t="s">
        <v>473</v>
      </c>
      <c r="C43" s="9" t="s">
        <v>474</v>
      </c>
      <c r="D43" s="11" t="s">
        <v>475</v>
      </c>
      <c r="E43" s="9" t="s">
        <v>476</v>
      </c>
      <c r="G43" s="68" t="s">
        <v>477</v>
      </c>
      <c r="H43" s="9" t="s">
        <v>472</v>
      </c>
    </row>
    <row r="44" spans="1:7" ht="12.75">
      <c r="A44" s="57" t="s">
        <v>206</v>
      </c>
      <c r="B44" s="10" t="s">
        <v>478</v>
      </c>
      <c r="C44" s="9" t="s">
        <v>479</v>
      </c>
      <c r="D44" s="11" t="s">
        <v>480</v>
      </c>
      <c r="G44" s="68" t="s">
        <v>481</v>
      </c>
    </row>
    <row r="45" spans="1:7" ht="12.75">
      <c r="A45" s="57" t="s">
        <v>482</v>
      </c>
      <c r="B45" s="10"/>
      <c r="D45" s="11" t="s">
        <v>483</v>
      </c>
      <c r="G45" s="68" t="s">
        <v>484</v>
      </c>
    </row>
    <row r="46" spans="1:8" ht="12.75">
      <c r="A46" s="57" t="s">
        <v>102</v>
      </c>
      <c r="B46" s="10" t="s">
        <v>485</v>
      </c>
      <c r="C46" s="9" t="s">
        <v>486</v>
      </c>
      <c r="D46" s="11" t="s">
        <v>487</v>
      </c>
      <c r="E46" s="9" t="s">
        <v>488</v>
      </c>
      <c r="G46" s="68" t="s">
        <v>489</v>
      </c>
      <c r="H46" s="9" t="s">
        <v>490</v>
      </c>
    </row>
    <row r="47" spans="1:8" ht="15" customHeight="1">
      <c r="A47" s="72" t="s">
        <v>491</v>
      </c>
      <c r="B47" s="10"/>
      <c r="D47" s="11"/>
      <c r="G47" s="68"/>
      <c r="H47" s="80" t="s">
        <v>492</v>
      </c>
    </row>
    <row r="48" spans="1:8" ht="12.75">
      <c r="A48" s="57"/>
      <c r="B48" s="10" t="s">
        <v>493</v>
      </c>
      <c r="C48" s="9" t="s">
        <v>494</v>
      </c>
      <c r="D48" s="11" t="s">
        <v>495</v>
      </c>
      <c r="E48" s="9" t="s">
        <v>496</v>
      </c>
      <c r="G48" s="68" t="s">
        <v>497</v>
      </c>
      <c r="H48" s="9">
        <v>2010</v>
      </c>
    </row>
    <row r="49" spans="1:8" ht="12.75">
      <c r="A49" s="57"/>
      <c r="B49" s="10" t="s">
        <v>498</v>
      </c>
      <c r="C49" s="9" t="s">
        <v>499</v>
      </c>
      <c r="D49" s="9" t="s">
        <v>500</v>
      </c>
      <c r="E49" t="s">
        <v>501</v>
      </c>
      <c r="F49" s="9" t="s">
        <v>502</v>
      </c>
      <c r="G49" s="68" t="s">
        <v>503</v>
      </c>
      <c r="H49" s="9">
        <v>2012</v>
      </c>
    </row>
    <row r="50" spans="1:8" ht="12">
      <c r="A50" s="57"/>
      <c r="B50" s="10" t="s">
        <v>426</v>
      </c>
      <c r="C50" s="9" t="s">
        <v>504</v>
      </c>
      <c r="D50" s="9" t="s">
        <v>500</v>
      </c>
      <c r="F50" s="9" t="s">
        <v>505</v>
      </c>
      <c r="G50" s="68" t="s">
        <v>506</v>
      </c>
      <c r="H50" s="9">
        <v>2011</v>
      </c>
    </row>
    <row r="51" spans="1:8" ht="12">
      <c r="A51" s="57"/>
      <c r="B51" s="10" t="s">
        <v>507</v>
      </c>
      <c r="C51" s="9" t="s">
        <v>508</v>
      </c>
      <c r="D51" s="9" t="s">
        <v>500</v>
      </c>
      <c r="E51" s="9" t="s">
        <v>509</v>
      </c>
      <c r="G51" s="68" t="s">
        <v>510</v>
      </c>
      <c r="H51" s="9">
        <v>2010</v>
      </c>
    </row>
    <row r="52" spans="1:8" ht="12">
      <c r="A52" s="57"/>
      <c r="B52" s="10" t="s">
        <v>511</v>
      </c>
      <c r="C52" s="9" t="s">
        <v>512</v>
      </c>
      <c r="D52" s="9" t="s">
        <v>513</v>
      </c>
      <c r="E52" s="9" t="s">
        <v>514</v>
      </c>
      <c r="G52" s="68" t="s">
        <v>515</v>
      </c>
      <c r="H52" s="9">
        <v>2010</v>
      </c>
    </row>
    <row r="53" spans="1:8" ht="12.75">
      <c r="A53" s="57"/>
      <c r="B53" s="10" t="s">
        <v>287</v>
      </c>
      <c r="C53" s="9" t="s">
        <v>516</v>
      </c>
      <c r="D53" s="9" t="s">
        <v>513</v>
      </c>
      <c r="E53" s="9" t="s">
        <v>517</v>
      </c>
      <c r="G53" s="68" t="s">
        <v>518</v>
      </c>
      <c r="H53" s="9">
        <v>2012</v>
      </c>
    </row>
    <row r="54" spans="1:8" ht="12.75">
      <c r="A54" s="57"/>
      <c r="B54" s="10" t="s">
        <v>519</v>
      </c>
      <c r="C54" s="9" t="s">
        <v>520</v>
      </c>
      <c r="D54" s="9" t="s">
        <v>513</v>
      </c>
      <c r="E54" s="9" t="s">
        <v>521</v>
      </c>
      <c r="G54" s="68" t="s">
        <v>522</v>
      </c>
      <c r="H54" s="9">
        <v>2011</v>
      </c>
    </row>
    <row r="55" ht="15" customHeight="1">
      <c r="A55" s="72" t="s">
        <v>523</v>
      </c>
    </row>
    <row r="56" ht="15" customHeight="1">
      <c r="D56" s="9" t="s">
        <v>524</v>
      </c>
    </row>
    <row r="57" spans="1:7" ht="15" customHeight="1">
      <c r="A57" s="72" t="s">
        <v>525</v>
      </c>
      <c r="B57" s="10"/>
      <c r="G57" s="68"/>
    </row>
    <row r="58" spans="1:11" ht="12.75">
      <c r="A58" s="57" t="s">
        <v>68</v>
      </c>
      <c r="B58" s="10" t="s">
        <v>485</v>
      </c>
      <c r="C58" s="9" t="s">
        <v>526</v>
      </c>
      <c r="D58" s="9" t="s">
        <v>527</v>
      </c>
      <c r="E58" s="9" t="s">
        <v>528</v>
      </c>
      <c r="G58" s="68" t="s">
        <v>529</v>
      </c>
      <c r="H58" s="9" t="s">
        <v>530</v>
      </c>
      <c r="I58" s="9" t="s">
        <v>531</v>
      </c>
      <c r="J58" s="9" t="s">
        <v>2</v>
      </c>
      <c r="K58" s="9" t="s">
        <v>532</v>
      </c>
    </row>
    <row r="59" spans="1:7" ht="15" customHeight="1">
      <c r="A59" s="72" t="s">
        <v>533</v>
      </c>
      <c r="B59" s="10"/>
      <c r="G59" s="68"/>
    </row>
    <row r="60" spans="1:10" ht="12">
      <c r="A60" s="57" t="s">
        <v>147</v>
      </c>
      <c r="B60" s="10" t="s">
        <v>534</v>
      </c>
      <c r="C60" s="9" t="s">
        <v>535</v>
      </c>
      <c r="D60" s="81" t="s">
        <v>536</v>
      </c>
      <c r="E60" s="9" t="s">
        <v>537</v>
      </c>
      <c r="F60" s="9" t="s">
        <v>538</v>
      </c>
      <c r="G60" s="68"/>
      <c r="J60" s="9" t="s">
        <v>539</v>
      </c>
    </row>
    <row r="61" spans="1:8" ht="12.75">
      <c r="A61" s="57" t="s">
        <v>96</v>
      </c>
      <c r="B61" s="10" t="s">
        <v>373</v>
      </c>
      <c r="C61" s="9" t="s">
        <v>540</v>
      </c>
      <c r="D61" s="81"/>
      <c r="E61" s="9" t="s">
        <v>541</v>
      </c>
      <c r="F61" s="9" t="s">
        <v>542</v>
      </c>
      <c r="G61" s="68" t="s">
        <v>543</v>
      </c>
      <c r="H61" s="68"/>
    </row>
    <row r="62" spans="1:7" ht="15" customHeight="1">
      <c r="A62" s="72" t="s">
        <v>544</v>
      </c>
      <c r="B62" s="10"/>
      <c r="G62" s="68"/>
    </row>
    <row r="63" spans="1:8" ht="12.75">
      <c r="A63" s="57" t="s">
        <v>114</v>
      </c>
      <c r="B63" s="10" t="s">
        <v>545</v>
      </c>
      <c r="C63" s="9" t="s">
        <v>546</v>
      </c>
      <c r="D63" s="66" t="s">
        <v>547</v>
      </c>
      <c r="E63" s="9" t="s">
        <v>548</v>
      </c>
      <c r="G63" s="68" t="s">
        <v>549</v>
      </c>
      <c r="H63" s="9" t="s">
        <v>550</v>
      </c>
    </row>
    <row r="64" spans="1:8" ht="12.75">
      <c r="A64" s="57" t="s">
        <v>111</v>
      </c>
      <c r="B64" s="10" t="s">
        <v>551</v>
      </c>
      <c r="C64" s="9" t="s">
        <v>552</v>
      </c>
      <c r="D64" s="11" t="s">
        <v>553</v>
      </c>
      <c r="G64" s="68" t="s">
        <v>554</v>
      </c>
      <c r="H64" s="9" t="s">
        <v>2</v>
      </c>
    </row>
    <row r="65" spans="1:12" ht="15" customHeight="1">
      <c r="A65" s="72" t="s">
        <v>555</v>
      </c>
      <c r="B65" s="10"/>
      <c r="D65" s="11"/>
      <c r="G65" s="68"/>
      <c r="L65" s="57" t="s">
        <v>455</v>
      </c>
    </row>
    <row r="66" spans="1:12" ht="12.75">
      <c r="A66" s="57" t="s">
        <v>228</v>
      </c>
      <c r="B66" s="10" t="s">
        <v>556</v>
      </c>
      <c r="C66" s="9" t="s">
        <v>557</v>
      </c>
      <c r="D66" s="11" t="s">
        <v>558</v>
      </c>
      <c r="E66" s="11"/>
      <c r="F66" s="9" t="s">
        <v>559</v>
      </c>
      <c r="G66" s="68" t="s">
        <v>560</v>
      </c>
      <c r="J66" s="9" t="s">
        <v>2</v>
      </c>
      <c r="L66" s="57" t="s">
        <v>455</v>
      </c>
    </row>
    <row r="67" spans="1:12" ht="15" customHeight="1">
      <c r="A67" s="57" t="s">
        <v>561</v>
      </c>
      <c r="B67" s="10" t="s">
        <v>2</v>
      </c>
      <c r="C67" s="9" t="s">
        <v>562</v>
      </c>
      <c r="D67" s="11" t="s">
        <v>563</v>
      </c>
      <c r="E67" s="9" t="s">
        <v>564</v>
      </c>
      <c r="G67" s="68"/>
      <c r="H67" s="9" t="s">
        <v>565</v>
      </c>
      <c r="I67" s="9" t="s">
        <v>566</v>
      </c>
      <c r="J67" s="9" t="s">
        <v>2</v>
      </c>
      <c r="K67" s="9" t="s">
        <v>567</v>
      </c>
      <c r="L67" s="57" t="s">
        <v>455</v>
      </c>
    </row>
    <row r="68" spans="1:12" ht="24.75">
      <c r="A68" s="57" t="s">
        <v>235</v>
      </c>
      <c r="B68" s="10" t="s">
        <v>568</v>
      </c>
      <c r="C68" s="9" t="s">
        <v>569</v>
      </c>
      <c r="D68" s="11" t="s">
        <v>570</v>
      </c>
      <c r="E68" s="11" t="s">
        <v>571</v>
      </c>
      <c r="G68" s="70" t="s">
        <v>572</v>
      </c>
      <c r="J68" s="9" t="s">
        <v>573</v>
      </c>
      <c r="K68" s="9" t="s">
        <v>574</v>
      </c>
      <c r="L68" s="57" t="s">
        <v>455</v>
      </c>
    </row>
  </sheetData>
  <mergeCells count="2">
    <mergeCell ref="B1:C1"/>
    <mergeCell ref="H39:K39"/>
  </mergeCells>
  <hyperlinks>
    <hyperlink ref="G3" r:id="rId1" display="squire@cambridemorrismen.org.uk"/>
    <hyperlink ref="G4" r:id="rId2" display="oliver.king11@btinternet.com"/>
    <hyperlink ref="G5" r:id="rId3" display="bagman@cambridgemorrismen.org.uk"/>
    <hyperlink ref="G6" r:id="rId4" display="kemp5ka5h@yahoo.co.uk"/>
    <hyperlink ref="G7" r:id="rId5" display="macktoddmack@me.com"/>
    <hyperlink ref="G10" r:id="rId6" display="springettrobin@gmail.com"/>
    <hyperlink ref="G11" r:id="rId7" display="HPAServices@aol.com"/>
    <hyperlink ref="G12" r:id="rId8" display="bagman@themorrisring.org"/>
    <hyperlink ref="G13" r:id="rId9" display="treasurer@barwick-green.co.uk"/>
    <hyperlink ref="G14" r:id="rId10" display="StimpsonM@aol.com"/>
    <hyperlink ref="G15" r:id="rId11" display="webmaster@themorrisring.org"/>
    <hyperlink ref="G16" r:id="rId12" display="john_burke@ntlworld.com"/>
    <hyperlink ref="G17" r:id="rId13" display="melanieclog@gmail.com"/>
    <hyperlink ref="G18" r:id="rId14" display="sec@morrisfed.org.uk"/>
    <hyperlink ref="G19" r:id="rId15" display="notation@morrisfed.org.uk"/>
    <hyperlink ref="G20" r:id="rId16" display="pres@morrisfed.org.uk"/>
    <hyperlink ref="G21" r:id="rId17" display="john@siwel.co.uk"/>
    <hyperlink ref="G22" r:id="rId18" display="chair@open-morris.org bethan_sundancer@hotmail.co.uk bethan.holdridge@norfolk.gov.uk"/>
    <hyperlink ref="G23" r:id="rId19" display="secretary@open-morris.org"/>
    <hyperlink ref="G24" r:id="rId20" display="greatcapermorris@yahoo.co.uk"/>
    <hyperlink ref="G25" r:id="rId21" display="publicity@open-morris.org"/>
    <hyperlink ref="G26" r:id="rId22" display="philwatson5852@gmail.com"/>
    <hyperlink ref="G27" r:id="rId23" display="shaun@themorrisshop.co.uk"/>
    <hyperlink ref="G29" r:id="rId24" display="cuillins@mac.com"/>
    <hyperlink ref="G30" r:id="rId25" display="randall.scott@btinternet.com"/>
    <hyperlink ref="G31" r:id="rId26" display="plury7@googlemail.com"/>
    <hyperlink ref="G32" r:id="rId27" display="molly@cusu.cam.ac.uk"/>
    <hyperlink ref="G33" r:id="rId28" display="manormillmorris@hotmail.com"/>
    <hyperlink ref="G35" r:id="rId29" display="bagman@peterboroughmorris.co.uk"/>
    <hyperlink ref="G36" r:id="rId30" display="mikestevenspe11@aol.com"/>
    <hyperlink ref="G38" r:id="rId31" display="enquiries@cambridge.gov.uk"/>
    <hyperlink ref="G39" r:id="rId32" display="Heather.bevanhunt@cambridge.gov.uk"/>
    <hyperlink ref="G44" r:id="rId33" display="luke.catchpole@cambridge.gov.uk"/>
    <hyperlink ref="G45" r:id="rId34" display="events@cambridge.gov.uk"/>
    <hyperlink ref="G49" r:id="rId35" display="tim.bick@btinternet.com"/>
    <hyperlink ref="G53" r:id="rId36" display="mike@einval.com"/>
    <hyperlink ref="G54" r:id="rId37" display="damientunnacliffe@yahoo.co.uk"/>
    <hyperlink ref="G58" r:id="rId38" display="manager@michaelhouse.org.uk"/>
    <hyperlink ref="G61" r:id="rId39" display="brian.hansell@ntlworld.com"/>
    <hyperlink ref="G63" r:id="rId40" display="stephanie.ruddy@sja.org.uk"/>
    <hyperlink ref="G64" r:id="rId41" display="wayne.badcock@sja.org.uk"/>
    <hyperlink ref="G66" r:id="rId42" display="Yvonne.Moulton@x-leisure.co.uk"/>
    <hyperlink ref="G68" r:id="rId43" display="www.x-leisure.co.uk/contact-us catherine.garner@x-leisure.co.uk"/>
  </hyperlinks>
  <printOptions horizontalCentered="1"/>
  <pageMargins left="0.7479166666666667" right="0.7479166666666667" top="1.18125" bottom="0.9840277777777777" header="0.5118055555555555" footer="0.5118055555555555"/>
  <pageSetup horizontalDpi="300" verticalDpi="300" orientation="landscape" paperSize="9"/>
  <headerFooter alignWithMargins="0">
    <oddHeader>&amp;L&amp;"Monotype Corsiva,Regular"&amp;16Joint Morris Organisations
The Morris Ring&amp;C&amp;"Monotype Corsiva,Regular"&amp;16Cambridge 2014 Day of Dance
&amp;A&amp;R&amp;"Monotype Corsiva,Regular"&amp;16Cambridge Morris Men
Graham Cox</oddHeader>
    <oddFooter>&amp;L&amp;F&amp;Cpage &amp;P of &amp;N&amp;R&amp;T on &amp;D</oddFooter>
  </headerFooter>
  <rowBreaks count="1" manualBreakCount="1">
    <brk id="36" max="255" man="1"/>
  </rowBreaks>
</worksheet>
</file>

<file path=xl/worksheets/sheet4.xml><?xml version="1.0" encoding="utf-8"?>
<worksheet xmlns="http://schemas.openxmlformats.org/spreadsheetml/2006/main" xmlns:r="http://schemas.openxmlformats.org/officeDocument/2006/relationships">
  <dimension ref="A1:O44"/>
  <sheetViews>
    <sheetView zoomScale="150" zoomScaleNormal="150" workbookViewId="0" topLeftCell="A1">
      <pane xSplit="1" ySplit="1" topLeftCell="B2" activePane="bottomRight" state="frozen"/>
      <selection pane="topLeft" activeCell="A1" sqref="A1"/>
      <selection pane="topRight" activeCell="B1" sqref="B1"/>
      <selection pane="bottomLeft" activeCell="A2" sqref="A2"/>
      <selection pane="bottomRight" activeCell="A2" sqref="A2"/>
    </sheetView>
  </sheetViews>
  <sheetFormatPr defaultColWidth="9.140625" defaultRowHeight="12.75"/>
  <cols>
    <col min="1" max="1" width="24.00390625" style="9" customWidth="1"/>
    <col min="2" max="2" width="18.57421875" style="9" customWidth="1"/>
    <col min="3" max="3" width="9.140625" style="9" customWidth="1"/>
    <col min="4" max="4" width="18.00390625" style="9" customWidth="1"/>
    <col min="5" max="5" width="7.421875" style="9" customWidth="1"/>
    <col min="6" max="6" width="9.8515625" style="9" customWidth="1"/>
    <col min="7" max="7" width="20.7109375" style="82" customWidth="1"/>
    <col min="8" max="8" width="13.28125" style="9" customWidth="1"/>
    <col min="9" max="10" width="20.7109375" style="11" customWidth="1"/>
    <col min="11" max="11" width="9.8515625" style="9" customWidth="1"/>
    <col min="12" max="12" width="7.28125" style="9" customWidth="1"/>
    <col min="13" max="13" width="9.8515625" style="9" customWidth="1"/>
    <col min="14" max="14" width="18.7109375" style="9" customWidth="1"/>
    <col min="15" max="15" width="20.7109375" style="10" customWidth="1"/>
    <col min="16" max="20" width="2.7109375" style="9" customWidth="1"/>
    <col min="21" max="16384" width="9.140625" style="9" customWidth="1"/>
  </cols>
  <sheetData>
    <row r="1" spans="1:15" s="11" customFormat="1" ht="24.75">
      <c r="A1" s="13" t="s">
        <v>575</v>
      </c>
      <c r="B1" s="13" t="s">
        <v>576</v>
      </c>
      <c r="C1" s="13" t="s">
        <v>577</v>
      </c>
      <c r="D1" s="13" t="s">
        <v>578</v>
      </c>
      <c r="E1" s="83" t="s">
        <v>579</v>
      </c>
      <c r="F1" s="13" t="s">
        <v>580</v>
      </c>
      <c r="G1" s="84" t="s">
        <v>267</v>
      </c>
      <c r="H1" s="13" t="s">
        <v>581</v>
      </c>
      <c r="I1" s="13" t="s">
        <v>582</v>
      </c>
      <c r="J1" s="13" t="s">
        <v>583</v>
      </c>
      <c r="K1" s="13" t="s">
        <v>584</v>
      </c>
      <c r="L1" s="13" t="s">
        <v>585</v>
      </c>
      <c r="M1" s="13" t="s">
        <v>586</v>
      </c>
      <c r="N1" s="16" t="s">
        <v>587</v>
      </c>
      <c r="O1" s="15" t="s">
        <v>588</v>
      </c>
    </row>
    <row r="2" spans="1:14" ht="15.75" customHeight="1">
      <c r="A2" s="9" t="s">
        <v>589</v>
      </c>
      <c r="B2" s="9" t="s">
        <v>590</v>
      </c>
      <c r="E2" s="10"/>
      <c r="G2" s="85"/>
      <c r="H2" s="58"/>
      <c r="N2" s="66"/>
    </row>
    <row r="3" spans="1:14" ht="15.75" customHeight="1">
      <c r="A3" s="9" t="s">
        <v>591</v>
      </c>
      <c r="B3" s="9" t="s">
        <v>590</v>
      </c>
      <c r="C3" s="9" t="s">
        <v>592</v>
      </c>
      <c r="D3" s="9" t="s">
        <v>593</v>
      </c>
      <c r="E3" s="10" t="s">
        <v>594</v>
      </c>
      <c r="F3" s="9" t="s">
        <v>595</v>
      </c>
      <c r="G3" s="86" t="s">
        <v>596</v>
      </c>
      <c r="H3" s="58"/>
      <c r="N3" s="66"/>
    </row>
    <row r="4" spans="1:14" ht="15.75" customHeight="1">
      <c r="A4" s="9" t="s">
        <v>591</v>
      </c>
      <c r="B4" s="9" t="s">
        <v>590</v>
      </c>
      <c r="C4" s="9" t="s">
        <v>592</v>
      </c>
      <c r="D4" s="9" t="s">
        <v>593</v>
      </c>
      <c r="E4" s="10" t="s">
        <v>597</v>
      </c>
      <c r="G4" s="86" t="s">
        <v>598</v>
      </c>
      <c r="H4" s="58"/>
      <c r="N4" s="66"/>
    </row>
    <row r="5" spans="1:15" ht="15.75" customHeight="1">
      <c r="A5" s="9" t="s">
        <v>591</v>
      </c>
      <c r="B5" s="9" t="s">
        <v>590</v>
      </c>
      <c r="C5" s="9" t="s">
        <v>592</v>
      </c>
      <c r="E5" s="10"/>
      <c r="G5" s="86" t="s">
        <v>599</v>
      </c>
      <c r="H5" s="58"/>
      <c r="L5" s="9" t="s">
        <v>600</v>
      </c>
      <c r="N5" s="66"/>
      <c r="O5" s="10" t="s">
        <v>601</v>
      </c>
    </row>
    <row r="6" spans="1:14" ht="15.75" customHeight="1">
      <c r="A6" s="9" t="s">
        <v>602</v>
      </c>
      <c r="B6" s="9" t="s">
        <v>590</v>
      </c>
      <c r="E6" s="10"/>
      <c r="G6" s="86"/>
      <c r="H6" s="58"/>
      <c r="N6" s="66"/>
    </row>
    <row r="7" spans="1:15" ht="15.75" customHeight="1">
      <c r="A7" s="9" t="s">
        <v>603</v>
      </c>
      <c r="B7" s="9" t="s">
        <v>590</v>
      </c>
      <c r="C7" s="9" t="s">
        <v>592</v>
      </c>
      <c r="D7" s="9" t="s">
        <v>604</v>
      </c>
      <c r="E7" s="10" t="s">
        <v>605</v>
      </c>
      <c r="F7" s="9" t="s">
        <v>606</v>
      </c>
      <c r="G7" s="86" t="s">
        <v>607</v>
      </c>
      <c r="H7" s="58"/>
      <c r="K7" s="9" t="s">
        <v>608</v>
      </c>
      <c r="N7" s="66"/>
      <c r="O7" s="10" t="s">
        <v>609</v>
      </c>
    </row>
    <row r="8" spans="1:14" ht="15.75" customHeight="1">
      <c r="A8" s="9" t="s">
        <v>610</v>
      </c>
      <c r="B8" s="9" t="s">
        <v>611</v>
      </c>
      <c r="C8" s="9" t="s">
        <v>592</v>
      </c>
      <c r="D8" s="9" t="s">
        <v>604</v>
      </c>
      <c r="E8" s="10" t="s">
        <v>612</v>
      </c>
      <c r="F8" s="9" t="s">
        <v>613</v>
      </c>
      <c r="G8" s="86" t="s">
        <v>614</v>
      </c>
      <c r="H8" s="58"/>
      <c r="N8" s="66"/>
    </row>
    <row r="9" spans="1:14" ht="15.75" customHeight="1">
      <c r="A9" s="9" t="s">
        <v>610</v>
      </c>
      <c r="B9" s="9" t="s">
        <v>611</v>
      </c>
      <c r="C9" s="9" t="s">
        <v>592</v>
      </c>
      <c r="D9" s="9" t="s">
        <v>615</v>
      </c>
      <c r="E9" s="10" t="s">
        <v>616</v>
      </c>
      <c r="F9" s="9" t="s">
        <v>617</v>
      </c>
      <c r="G9" s="86" t="s">
        <v>618</v>
      </c>
      <c r="H9" s="58"/>
      <c r="N9" s="66"/>
    </row>
    <row r="10" spans="1:14" ht="15.75" customHeight="1">
      <c r="A10" s="9" t="s">
        <v>610</v>
      </c>
      <c r="B10" s="9" t="s">
        <v>611</v>
      </c>
      <c r="C10" s="9" t="s">
        <v>592</v>
      </c>
      <c r="D10" s="9" t="s">
        <v>615</v>
      </c>
      <c r="E10" s="10" t="s">
        <v>619</v>
      </c>
      <c r="F10" s="9" t="s">
        <v>620</v>
      </c>
      <c r="G10" s="86" t="s">
        <v>621</v>
      </c>
      <c r="H10" s="58"/>
      <c r="N10" s="66"/>
    </row>
    <row r="11" spans="1:14" ht="15.75" customHeight="1">
      <c r="A11" s="9" t="s">
        <v>622</v>
      </c>
      <c r="B11" s="9" t="s">
        <v>611</v>
      </c>
      <c r="C11" s="9" t="s">
        <v>592</v>
      </c>
      <c r="E11" s="10"/>
      <c r="G11" s="86" t="s">
        <v>623</v>
      </c>
      <c r="H11" s="58"/>
      <c r="N11" s="66"/>
    </row>
    <row r="12" spans="1:14" ht="15.75" customHeight="1">
      <c r="A12" s="9" t="s">
        <v>624</v>
      </c>
      <c r="B12" s="9" t="s">
        <v>611</v>
      </c>
      <c r="C12" s="9" t="s">
        <v>592</v>
      </c>
      <c r="D12" s="9" t="s">
        <v>604</v>
      </c>
      <c r="E12" s="10" t="s">
        <v>625</v>
      </c>
      <c r="F12" s="9" t="s">
        <v>626</v>
      </c>
      <c r="G12" s="86" t="s">
        <v>627</v>
      </c>
      <c r="H12" s="58"/>
      <c r="I12" s="11" t="s">
        <v>628</v>
      </c>
      <c r="N12" s="66"/>
    </row>
    <row r="13" spans="1:14" ht="15.75" customHeight="1">
      <c r="A13" s="9" t="s">
        <v>624</v>
      </c>
      <c r="B13" s="9" t="s">
        <v>611</v>
      </c>
      <c r="C13" s="9" t="s">
        <v>592</v>
      </c>
      <c r="D13" s="9" t="s">
        <v>604</v>
      </c>
      <c r="E13" s="10" t="s">
        <v>625</v>
      </c>
      <c r="F13" s="9" t="s">
        <v>629</v>
      </c>
      <c r="G13" s="86" t="s">
        <v>630</v>
      </c>
      <c r="H13" s="58"/>
      <c r="I13" s="11" t="s">
        <v>628</v>
      </c>
      <c r="N13" s="66"/>
    </row>
    <row r="14" spans="1:14" ht="15.75" customHeight="1">
      <c r="A14" s="9" t="s">
        <v>631</v>
      </c>
      <c r="B14" s="9" t="s">
        <v>632</v>
      </c>
      <c r="C14" s="9" t="s">
        <v>633</v>
      </c>
      <c r="E14" s="10"/>
      <c r="G14" s="86"/>
      <c r="H14" s="58"/>
      <c r="N14" s="87" t="s">
        <v>634</v>
      </c>
    </row>
    <row r="15" spans="1:14" ht="15.75" customHeight="1">
      <c r="A15" s="9" t="s">
        <v>635</v>
      </c>
      <c r="B15" s="9" t="s">
        <v>636</v>
      </c>
      <c r="E15" s="10"/>
      <c r="G15" s="85" t="s">
        <v>637</v>
      </c>
      <c r="H15" s="58" t="s">
        <v>638</v>
      </c>
      <c r="N15" s="88" t="s">
        <v>639</v>
      </c>
    </row>
    <row r="16" spans="1:15" ht="15.75" customHeight="1">
      <c r="A16" s="9" t="s">
        <v>640</v>
      </c>
      <c r="B16" s="9" t="s">
        <v>636</v>
      </c>
      <c r="C16" s="9" t="s">
        <v>641</v>
      </c>
      <c r="E16" s="10"/>
      <c r="G16" s="86"/>
      <c r="H16" s="58"/>
      <c r="K16" s="9" t="s">
        <v>2</v>
      </c>
      <c r="N16" s="66"/>
      <c r="O16" s="10" t="s">
        <v>642</v>
      </c>
    </row>
    <row r="17" spans="1:15" ht="15.75" customHeight="1">
      <c r="A17" s="9" t="s">
        <v>643</v>
      </c>
      <c r="B17" s="9" t="s">
        <v>636</v>
      </c>
      <c r="C17" s="9" t="s">
        <v>641</v>
      </c>
      <c r="D17" s="9" t="s">
        <v>604</v>
      </c>
      <c r="E17" s="10"/>
      <c r="G17" s="86" t="s">
        <v>644</v>
      </c>
      <c r="H17" s="58"/>
      <c r="K17" s="9" t="s">
        <v>2</v>
      </c>
      <c r="N17" s="66"/>
      <c r="O17" s="10" t="s">
        <v>645</v>
      </c>
    </row>
    <row r="18" spans="1:14" ht="15.75" customHeight="1">
      <c r="A18" s="9" t="s">
        <v>646</v>
      </c>
      <c r="B18" s="9" t="s">
        <v>647</v>
      </c>
      <c r="C18" s="9" t="s">
        <v>648</v>
      </c>
      <c r="D18" s="9" t="s">
        <v>649</v>
      </c>
      <c r="E18" s="10"/>
      <c r="G18" s="86" t="s">
        <v>650</v>
      </c>
      <c r="H18" s="58"/>
      <c r="N18" s="66"/>
    </row>
    <row r="19" spans="1:14" ht="15.75" customHeight="1">
      <c r="A19" s="9" t="s">
        <v>646</v>
      </c>
      <c r="B19" s="9" t="s">
        <v>647</v>
      </c>
      <c r="C19" s="9" t="s">
        <v>648</v>
      </c>
      <c r="D19" s="9" t="s">
        <v>651</v>
      </c>
      <c r="E19" s="10"/>
      <c r="G19" s="86" t="s">
        <v>652</v>
      </c>
      <c r="H19" s="58"/>
      <c r="N19" s="66"/>
    </row>
    <row r="20" spans="1:14" ht="15.75" customHeight="1">
      <c r="A20" s="9" t="s">
        <v>646</v>
      </c>
      <c r="B20" s="9" t="s">
        <v>647</v>
      </c>
      <c r="C20" s="9" t="s">
        <v>648</v>
      </c>
      <c r="E20" s="10" t="s">
        <v>653</v>
      </c>
      <c r="F20" s="9" t="s">
        <v>654</v>
      </c>
      <c r="G20" s="86" t="s">
        <v>655</v>
      </c>
      <c r="H20" s="58"/>
      <c r="N20" s="66"/>
    </row>
    <row r="21" spans="1:14" ht="12.75">
      <c r="A21" s="9" t="s">
        <v>656</v>
      </c>
      <c r="B21" s="9" t="s">
        <v>647</v>
      </c>
      <c r="C21" s="9" t="s">
        <v>641</v>
      </c>
      <c r="D21" s="9" t="s">
        <v>651</v>
      </c>
      <c r="E21" s="10"/>
      <c r="G21" s="85" t="s">
        <v>657</v>
      </c>
      <c r="H21" s="58" t="s">
        <v>658</v>
      </c>
      <c r="N21" s="66"/>
    </row>
    <row r="22" spans="1:14" ht="15" customHeight="1">
      <c r="A22" s="9" t="s">
        <v>659</v>
      </c>
      <c r="B22" s="9" t="s">
        <v>660</v>
      </c>
      <c r="C22" s="9" t="s">
        <v>648</v>
      </c>
      <c r="D22" s="9" t="s">
        <v>661</v>
      </c>
      <c r="E22" s="10"/>
      <c r="G22" s="85" t="s">
        <v>662</v>
      </c>
      <c r="H22" s="58" t="s">
        <v>663</v>
      </c>
      <c r="N22" s="66"/>
    </row>
    <row r="23" spans="1:14" ht="15" customHeight="1">
      <c r="A23" s="9" t="s">
        <v>659</v>
      </c>
      <c r="B23" s="9" t="s">
        <v>660</v>
      </c>
      <c r="C23" s="9" t="s">
        <v>648</v>
      </c>
      <c r="D23" s="9" t="s">
        <v>664</v>
      </c>
      <c r="E23" s="10" t="s">
        <v>485</v>
      </c>
      <c r="F23" s="9" t="s">
        <v>665</v>
      </c>
      <c r="G23" s="86" t="s">
        <v>666</v>
      </c>
      <c r="H23" s="58"/>
      <c r="N23" s="66"/>
    </row>
    <row r="24" spans="1:14" ht="15" customHeight="1">
      <c r="A24" s="9" t="s">
        <v>659</v>
      </c>
      <c r="B24" s="9" t="s">
        <v>660</v>
      </c>
      <c r="C24" s="9" t="s">
        <v>648</v>
      </c>
      <c r="D24" s="9" t="s">
        <v>667</v>
      </c>
      <c r="E24" s="10" t="s">
        <v>668</v>
      </c>
      <c r="F24" s="9" t="s">
        <v>669</v>
      </c>
      <c r="G24" s="85" t="s">
        <v>670</v>
      </c>
      <c r="H24" s="58"/>
      <c r="N24" s="66"/>
    </row>
    <row r="25" spans="1:14" ht="15" customHeight="1">
      <c r="A25" s="9" t="s">
        <v>659</v>
      </c>
      <c r="B25" s="9" t="s">
        <v>660</v>
      </c>
      <c r="C25" s="9" t="s">
        <v>648</v>
      </c>
      <c r="D25" s="9" t="s">
        <v>671</v>
      </c>
      <c r="E25" s="10" t="s">
        <v>653</v>
      </c>
      <c r="F25" s="9" t="s">
        <v>672</v>
      </c>
      <c r="G25" s="86" t="s">
        <v>673</v>
      </c>
      <c r="H25" s="58"/>
      <c r="N25" s="66"/>
    </row>
    <row r="26" spans="1:14" ht="15" customHeight="1">
      <c r="A26" s="9" t="s">
        <v>659</v>
      </c>
      <c r="B26" s="9" t="s">
        <v>660</v>
      </c>
      <c r="C26" s="9" t="s">
        <v>648</v>
      </c>
      <c r="D26" s="9" t="s">
        <v>674</v>
      </c>
      <c r="E26" s="10" t="s">
        <v>675</v>
      </c>
      <c r="F26" s="9" t="s">
        <v>676</v>
      </c>
      <c r="G26" s="86" t="s">
        <v>677</v>
      </c>
      <c r="H26" s="58"/>
      <c r="N26" s="66"/>
    </row>
    <row r="27" spans="1:15" ht="15" customHeight="1">
      <c r="A27" s="9" t="s">
        <v>659</v>
      </c>
      <c r="B27" s="9" t="s">
        <v>660</v>
      </c>
      <c r="C27" s="9" t="s">
        <v>648</v>
      </c>
      <c r="D27" s="9" t="s">
        <v>678</v>
      </c>
      <c r="E27" s="10" t="s">
        <v>485</v>
      </c>
      <c r="F27" s="9" t="s">
        <v>679</v>
      </c>
      <c r="G27" s="85" t="s">
        <v>680</v>
      </c>
      <c r="H27" s="58" t="s">
        <v>681</v>
      </c>
      <c r="N27" s="66"/>
      <c r="O27" s="10" t="s">
        <v>682</v>
      </c>
    </row>
    <row r="28" spans="1:14" ht="15" customHeight="1">
      <c r="A28" s="9" t="s">
        <v>659</v>
      </c>
      <c r="B28" s="9" t="s">
        <v>660</v>
      </c>
      <c r="C28" s="9" t="s">
        <v>648</v>
      </c>
      <c r="D28" s="9" t="s">
        <v>683</v>
      </c>
      <c r="E28" s="10" t="s">
        <v>449</v>
      </c>
      <c r="F28" s="9" t="s">
        <v>684</v>
      </c>
      <c r="G28" s="85" t="s">
        <v>685</v>
      </c>
      <c r="H28" s="58" t="s">
        <v>686</v>
      </c>
      <c r="N28" s="66"/>
    </row>
    <row r="29" spans="1:14" ht="25.5" customHeight="1">
      <c r="A29" s="9" t="s">
        <v>687</v>
      </c>
      <c r="B29" s="9" t="s">
        <v>660</v>
      </c>
      <c r="C29" s="9" t="s">
        <v>648</v>
      </c>
      <c r="D29" s="9" t="s">
        <v>661</v>
      </c>
      <c r="E29" s="10"/>
      <c r="G29" s="85" t="s">
        <v>688</v>
      </c>
      <c r="H29" s="58" t="s">
        <v>689</v>
      </c>
      <c r="I29" s="11" t="s">
        <v>690</v>
      </c>
      <c r="J29" s="11" t="s">
        <v>691</v>
      </c>
      <c r="K29" s="9" t="s">
        <v>2</v>
      </c>
      <c r="M29" s="9" t="s">
        <v>99</v>
      </c>
      <c r="N29" s="87" t="s">
        <v>692</v>
      </c>
    </row>
    <row r="30" spans="1:14" ht="25.5" customHeight="1">
      <c r="A30" s="9" t="s">
        <v>687</v>
      </c>
      <c r="B30" s="9" t="s">
        <v>660</v>
      </c>
      <c r="C30" s="9" t="s">
        <v>648</v>
      </c>
      <c r="D30" s="9" t="s">
        <v>664</v>
      </c>
      <c r="E30" s="10" t="s">
        <v>693</v>
      </c>
      <c r="F30" s="9" t="s">
        <v>694</v>
      </c>
      <c r="G30" s="85" t="s">
        <v>695</v>
      </c>
      <c r="H30" s="58" t="s">
        <v>696</v>
      </c>
      <c r="N30" s="66"/>
    </row>
    <row r="31" spans="1:14" ht="25.5" customHeight="1">
      <c r="A31" s="9" t="s">
        <v>687</v>
      </c>
      <c r="B31" s="9" t="s">
        <v>660</v>
      </c>
      <c r="C31" s="9" t="s">
        <v>648</v>
      </c>
      <c r="D31" s="11" t="s">
        <v>697</v>
      </c>
      <c r="E31" s="10" t="s">
        <v>698</v>
      </c>
      <c r="F31" s="9" t="s">
        <v>699</v>
      </c>
      <c r="G31" s="85" t="s">
        <v>700</v>
      </c>
      <c r="H31" s="58" t="s">
        <v>701</v>
      </c>
      <c r="N31" s="66"/>
    </row>
    <row r="32" spans="1:14" ht="25.5" customHeight="1">
      <c r="A32" s="9" t="s">
        <v>687</v>
      </c>
      <c r="B32" s="9" t="s">
        <v>660</v>
      </c>
      <c r="C32" s="9" t="s">
        <v>648</v>
      </c>
      <c r="D32" s="9" t="s">
        <v>702</v>
      </c>
      <c r="E32" s="10" t="s">
        <v>391</v>
      </c>
      <c r="F32" s="9" t="s">
        <v>703</v>
      </c>
      <c r="G32" s="85" t="s">
        <v>704</v>
      </c>
      <c r="H32" s="58"/>
      <c r="N32" s="66"/>
    </row>
    <row r="33" spans="1:14" ht="25.5" customHeight="1">
      <c r="A33" s="9" t="s">
        <v>705</v>
      </c>
      <c r="B33" s="9" t="s">
        <v>660</v>
      </c>
      <c r="C33" s="9" t="s">
        <v>648</v>
      </c>
      <c r="D33" s="9" t="s">
        <v>651</v>
      </c>
      <c r="E33" s="10"/>
      <c r="G33" s="70" t="s">
        <v>706</v>
      </c>
      <c r="H33" s="58" t="s">
        <v>707</v>
      </c>
      <c r="N33" s="66"/>
    </row>
    <row r="34" spans="1:14" ht="25.5" customHeight="1">
      <c r="A34" s="9" t="s">
        <v>708</v>
      </c>
      <c r="B34" s="9" t="s">
        <v>660</v>
      </c>
      <c r="C34" s="9" t="s">
        <v>648</v>
      </c>
      <c r="D34" s="9" t="s">
        <v>709</v>
      </c>
      <c r="E34" s="10" t="s">
        <v>710</v>
      </c>
      <c r="F34" s="9" t="s">
        <v>711</v>
      </c>
      <c r="G34" s="85" t="s">
        <v>712</v>
      </c>
      <c r="H34" s="58"/>
      <c r="I34" s="11" t="s">
        <v>713</v>
      </c>
      <c r="K34" s="9" t="s">
        <v>2</v>
      </c>
      <c r="M34" s="9" t="s">
        <v>714</v>
      </c>
      <c r="N34" s="88" t="s">
        <v>715</v>
      </c>
    </row>
    <row r="35" spans="1:14" ht="25.5" customHeight="1">
      <c r="A35" s="9" t="s">
        <v>708</v>
      </c>
      <c r="B35" s="9" t="s">
        <v>660</v>
      </c>
      <c r="C35" s="9" t="s">
        <v>648</v>
      </c>
      <c r="D35" s="9" t="s">
        <v>651</v>
      </c>
      <c r="E35" s="10"/>
      <c r="G35" s="85" t="s">
        <v>716</v>
      </c>
      <c r="H35" s="58" t="s">
        <v>717</v>
      </c>
      <c r="I35" s="11" t="s">
        <v>713</v>
      </c>
      <c r="K35" s="9" t="s">
        <v>2</v>
      </c>
      <c r="M35" s="9" t="s">
        <v>714</v>
      </c>
      <c r="N35" s="88" t="s">
        <v>715</v>
      </c>
    </row>
    <row r="36" spans="1:14" ht="25.5" customHeight="1">
      <c r="A36" s="9" t="s">
        <v>708</v>
      </c>
      <c r="B36" s="9" t="s">
        <v>660</v>
      </c>
      <c r="C36" s="9" t="s">
        <v>648</v>
      </c>
      <c r="D36" s="9" t="s">
        <v>718</v>
      </c>
      <c r="E36" s="10"/>
      <c r="G36" s="85"/>
      <c r="H36" s="58" t="s">
        <v>719</v>
      </c>
      <c r="I36" s="11" t="s">
        <v>713</v>
      </c>
      <c r="K36" s="9" t="s">
        <v>2</v>
      </c>
      <c r="M36" s="9" t="s">
        <v>714</v>
      </c>
      <c r="N36" s="88" t="s">
        <v>715</v>
      </c>
    </row>
    <row r="37" spans="1:14" ht="25.5" customHeight="1">
      <c r="A37" s="9" t="s">
        <v>720</v>
      </c>
      <c r="B37" s="9" t="s">
        <v>660</v>
      </c>
      <c r="C37" s="9" t="s">
        <v>648</v>
      </c>
      <c r="D37" s="9" t="s">
        <v>721</v>
      </c>
      <c r="E37" s="10" t="s">
        <v>722</v>
      </c>
      <c r="F37" s="9" t="s">
        <v>723</v>
      </c>
      <c r="G37" s="85"/>
      <c r="H37" s="58"/>
      <c r="K37" s="9" t="s">
        <v>724</v>
      </c>
      <c r="L37" s="9" t="s">
        <v>600</v>
      </c>
      <c r="N37" s="88" t="s">
        <v>725</v>
      </c>
    </row>
    <row r="38" spans="1:14" ht="25.5" customHeight="1">
      <c r="A38" s="9" t="s">
        <v>726</v>
      </c>
      <c r="B38" s="9" t="s">
        <v>727</v>
      </c>
      <c r="E38" s="10"/>
      <c r="G38" s="85" t="s">
        <v>728</v>
      </c>
      <c r="H38" s="58" t="s">
        <v>729</v>
      </c>
      <c r="I38" s="11" t="s">
        <v>730</v>
      </c>
      <c r="J38" s="11" t="s">
        <v>730</v>
      </c>
      <c r="K38" s="9" t="s">
        <v>2</v>
      </c>
      <c r="M38" s="9" t="s">
        <v>731</v>
      </c>
      <c r="N38" s="87" t="s">
        <v>732</v>
      </c>
    </row>
    <row r="39" spans="1:14" ht="12.75">
      <c r="A39" s="9" t="s">
        <v>733</v>
      </c>
      <c r="B39" s="9" t="s">
        <v>727</v>
      </c>
      <c r="C39" s="9" t="s">
        <v>734</v>
      </c>
      <c r="E39" s="10"/>
      <c r="G39" s="82" t="s">
        <v>735</v>
      </c>
      <c r="H39" s="58" t="s">
        <v>736</v>
      </c>
      <c r="I39" s="11" t="s">
        <v>737</v>
      </c>
      <c r="J39" s="11" t="s">
        <v>738</v>
      </c>
      <c r="K39" s="9" t="s">
        <v>55</v>
      </c>
      <c r="M39" s="9" t="s">
        <v>739</v>
      </c>
      <c r="N39" s="87" t="s">
        <v>740</v>
      </c>
    </row>
    <row r="40" spans="1:14" ht="36" customHeight="1">
      <c r="A40" s="9" t="s">
        <v>741</v>
      </c>
      <c r="B40" s="9" t="s">
        <v>727</v>
      </c>
      <c r="D40" s="9" t="s">
        <v>709</v>
      </c>
      <c r="E40" s="10" t="s">
        <v>742</v>
      </c>
      <c r="F40" s="9" t="s">
        <v>743</v>
      </c>
      <c r="G40" s="89" t="s">
        <v>744</v>
      </c>
      <c r="H40" s="58" t="s">
        <v>745</v>
      </c>
      <c r="I40" s="11" t="s">
        <v>746</v>
      </c>
      <c r="J40" s="11" t="s">
        <v>747</v>
      </c>
      <c r="K40" s="9" t="s">
        <v>748</v>
      </c>
      <c r="M40" s="9" t="s">
        <v>749</v>
      </c>
      <c r="N40" s="87" t="s">
        <v>750</v>
      </c>
    </row>
    <row r="41" spans="1:14" ht="12.75">
      <c r="A41" s="9" t="s">
        <v>751</v>
      </c>
      <c r="B41" s="9" t="s">
        <v>752</v>
      </c>
      <c r="C41" s="9" t="s">
        <v>648</v>
      </c>
      <c r="E41" s="10"/>
      <c r="G41" s="85" t="s">
        <v>753</v>
      </c>
      <c r="H41" s="58" t="s">
        <v>754</v>
      </c>
      <c r="N41" s="87" t="s">
        <v>755</v>
      </c>
    </row>
    <row r="42" spans="1:14" ht="12.75">
      <c r="A42" s="9" t="s">
        <v>756</v>
      </c>
      <c r="B42" s="9" t="s">
        <v>757</v>
      </c>
      <c r="E42" s="10"/>
      <c r="G42" s="85" t="s">
        <v>758</v>
      </c>
      <c r="H42" s="58"/>
      <c r="I42" s="11" t="s">
        <v>759</v>
      </c>
      <c r="J42" s="11" t="s">
        <v>760</v>
      </c>
      <c r="K42" s="9" t="s">
        <v>2</v>
      </c>
      <c r="M42" s="9" t="s">
        <v>761</v>
      </c>
      <c r="N42" s="88" t="s">
        <v>762</v>
      </c>
    </row>
    <row r="44" spans="2:8" ht="12">
      <c r="B44" s="90" t="s">
        <v>763</v>
      </c>
      <c r="C44" s="90"/>
      <c r="D44" s="90"/>
      <c r="G44" s="91">
        <f>COUNTA(G2:G43)</f>
        <v>35</v>
      </c>
      <c r="H44" s="91" t="s">
        <v>764</v>
      </c>
    </row>
  </sheetData>
  <hyperlinks>
    <hyperlink ref="G5" r:id="rId1" display="editor@suffolkfolk.co.uk"/>
    <hyperlink ref="G7" r:id="rId2" display="alan@unicornmagazine.org.uk"/>
    <hyperlink ref="G13" r:id="rId3" display="louise.cummings@cambridge-news.co.uk"/>
    <hyperlink ref="N14" r:id="rId4" display="www.cam.ac.uk/for-staff"/>
    <hyperlink ref="G15" r:id="rId5" display="media@angliastudent.com"/>
    <hyperlink ref="N15" r:id="rId6" display="http://www.angliastudent.com/"/>
    <hyperlink ref="G18" r:id="rId7" display="digital.features@cambridge-news.co.uk"/>
    <hyperlink ref="G19" r:id="rId8" display="newsdesk@cambridge-news.co.uk"/>
    <hyperlink ref="G20" r:id="rId9" display="chris.havergal@cambridge-news.co.uk"/>
    <hyperlink ref="G21" r:id="rId10" display="weeklies@cambridge-news.co.uk"/>
    <hyperlink ref="G22" r:id="rId11" display="cambridgeshire@bbc.co.uk"/>
    <hyperlink ref="G26" r:id="rId12" display="andy.harper@bbc.co.uk"/>
    <hyperlink ref="G28" r:id="rId13" display="heather.noble@bbc.co.uk"/>
    <hyperlink ref="G29" r:id="rId14" display="studio@cambridge105.fm"/>
    <hyperlink ref="G31" r:id="rId15" display="julian@cambridge105.fm"/>
    <hyperlink ref="G33" r:id="rId16" display="cambridgeshire.news@heart.co.uk"/>
    <hyperlink ref="G34" r:id="rId17" display="mark.peters@star107.co.uk"/>
    <hyperlink ref="N34" r:id="rId18" display="www.star107.co.uk"/>
    <hyperlink ref="N35" r:id="rId19" display="www.star107.co.uk"/>
    <hyperlink ref="N36" r:id="rId20" display="www.star107.co.uk"/>
    <hyperlink ref="N37" r:id="rId21" display="www.zackfm.com/"/>
    <hyperlink ref="G38" r:id="rId22" display="info@visitcambridge.org"/>
    <hyperlink ref="N38" r:id="rId23" display="www.visitcambridge.org/"/>
    <hyperlink ref="N39" r:id="rId24" display="http://visitely.eastcambs.gov.uk/events/whats-on"/>
    <hyperlink ref="N40" r:id="rId25" display="www.stives-town.info/tourism.asp"/>
    <hyperlink ref="G41" r:id="rId26" display="look.east@bbc.co.uk"/>
    <hyperlink ref="N41" r:id="rId27" display="www.bbc.co.uk/programmes/b006mj5w"/>
    <hyperlink ref="G42" r:id="rId28" display="info@localsecrets.com"/>
    <hyperlink ref="N42" r:id="rId29" display="https://www.localsecrets.com/"/>
  </hyperlinks>
  <printOptions horizontalCentered="1"/>
  <pageMargins left="0.7479166666666667" right="0.7479166666666667" top="1.18125" bottom="0.9840277777777777" header="0.5118055555555555" footer="0.5118055555555555"/>
  <pageSetup horizontalDpi="300" verticalDpi="300" orientation="landscape" paperSize="9"/>
  <headerFooter alignWithMargins="0">
    <oddHeader>&amp;L&amp;"Monotype Corsiva,Regular"&amp;16Joint Morris Organisations
The Morris Ring&amp;C&amp;"Monotype Corsiva,Regular"&amp;16Cambridge 2014 Day of Dance
&amp;A&amp;R&amp;"Monotype Corsiva,Regular"&amp;16Cambridge Morris Men
Graham Cox</oddHeader>
    <oddFooter>&amp;L&amp;F&amp;Cpage &amp;P of &amp;N&amp;R&amp;T on &amp;D</oddFooter>
  </headerFooter>
</worksheet>
</file>

<file path=xl/worksheets/sheet5.xml><?xml version="1.0" encoding="utf-8"?>
<worksheet xmlns="http://schemas.openxmlformats.org/spreadsheetml/2006/main" xmlns:r="http://schemas.openxmlformats.org/officeDocument/2006/relationships">
  <dimension ref="A1:C16"/>
  <sheetViews>
    <sheetView zoomScale="150" zoomScaleNormal="150" workbookViewId="0" topLeftCell="A1">
      <selection activeCell="C9" sqref="C9"/>
    </sheetView>
  </sheetViews>
  <sheetFormatPr defaultColWidth="9.140625" defaultRowHeight="12.75"/>
  <cols>
    <col min="1" max="1" width="26.7109375" style="9" customWidth="1"/>
    <col min="2" max="2" width="9.140625" style="92" customWidth="1"/>
    <col min="3" max="3" width="50.7109375" style="11" customWidth="1"/>
    <col min="4" max="8" width="1.7109375" style="9" customWidth="1"/>
    <col min="9" max="16384" width="9.140625" style="9" customWidth="1"/>
  </cols>
  <sheetData>
    <row r="1" spans="1:2" ht="12">
      <c r="A1" s="10" t="s">
        <v>765</v>
      </c>
      <c r="B1" s="92">
        <f>SUM(B2:B40)</f>
        <v>512.51</v>
      </c>
    </row>
    <row r="3" spans="1:3" ht="12.75">
      <c r="A3" s="9" t="s">
        <v>766</v>
      </c>
      <c r="B3" s="92">
        <v>0</v>
      </c>
      <c r="C3" s="11" t="s">
        <v>767</v>
      </c>
    </row>
    <row r="4" spans="1:3" ht="12.75">
      <c r="A4" s="9" t="s">
        <v>768</v>
      </c>
      <c r="B4" s="92">
        <f>133.1/2</f>
        <v>66.55</v>
      </c>
      <c r="C4" s="11" t="s">
        <v>769</v>
      </c>
    </row>
    <row r="5" spans="1:3" ht="12.75">
      <c r="A5" s="9" t="s">
        <v>770</v>
      </c>
      <c r="B5" s="92">
        <v>0</v>
      </c>
      <c r="C5" s="11" t="s">
        <v>771</v>
      </c>
    </row>
    <row r="6" spans="1:3" ht="12.75">
      <c r="A6" s="9" t="s">
        <v>772</v>
      </c>
      <c r="B6" s="92">
        <v>100</v>
      </c>
      <c r="C6" s="11" t="s">
        <v>773</v>
      </c>
    </row>
    <row r="7" spans="1:3" ht="12.75">
      <c r="A7" s="9" t="s">
        <v>774</v>
      </c>
      <c r="B7" s="92">
        <v>0</v>
      </c>
      <c r="C7" s="11" t="s">
        <v>775</v>
      </c>
    </row>
    <row r="8" spans="1:3" ht="24.75">
      <c r="A8" s="9" t="s">
        <v>544</v>
      </c>
      <c r="B8" s="92">
        <f>144*0.7*1.2</f>
        <v>120.96</v>
      </c>
      <c r="C8" s="11" t="s">
        <v>776</v>
      </c>
    </row>
    <row r="9" spans="1:3" ht="12.75">
      <c r="A9" s="9" t="s">
        <v>777</v>
      </c>
      <c r="C9" s="11" t="s">
        <v>778</v>
      </c>
    </row>
    <row r="10" spans="1:3" ht="12.75">
      <c r="A10" s="9" t="s">
        <v>779</v>
      </c>
      <c r="B10" s="92">
        <v>25</v>
      </c>
      <c r="C10" s="11" t="s">
        <v>780</v>
      </c>
    </row>
    <row r="11" spans="1:3" ht="12.75">
      <c r="A11" s="9" t="s">
        <v>781</v>
      </c>
      <c r="B11" s="92">
        <v>200</v>
      </c>
      <c r="C11" s="11" t="s">
        <v>782</v>
      </c>
    </row>
    <row r="16" spans="1:2" ht="12">
      <c r="A16" s="9" t="s">
        <v>783</v>
      </c>
      <c r="B16" s="92" t="s">
        <v>784</v>
      </c>
    </row>
  </sheetData>
  <printOptions horizontalCentered="1"/>
  <pageMargins left="0.7479166666666667" right="0.7479166666666667" top="1.18125" bottom="0.9840277777777777" header="0.5118055555555555" footer="0.5118055555555555"/>
  <pageSetup horizontalDpi="300" verticalDpi="300" orientation="landscape" paperSize="9"/>
  <headerFooter alignWithMargins="0">
    <oddHeader>&amp;L&amp;"Monotype Corsiva,Regular"&amp;16Joint Morris Organisations
The Morris Ring&amp;C&amp;"Monotype Corsiva,Regular"&amp;16Cambridge 2014 Day of Dance
&amp;A&amp;R&amp;"Monotype Corsiva,Regular"&amp;16Cambridge Morris Men
Graham Cox</oddHeader>
    <oddFooter>&amp;L&amp;F&amp;Cpage &amp;P of &amp;N&amp;R&amp;T on &amp;D</oddFooter>
  </headerFooter>
</worksheet>
</file>

<file path=xl/worksheets/sheet6.xml><?xml version="1.0" encoding="utf-8"?>
<worksheet xmlns="http://schemas.openxmlformats.org/spreadsheetml/2006/main" xmlns:r="http://schemas.openxmlformats.org/officeDocument/2006/relationships">
  <dimension ref="A1:A36"/>
  <sheetViews>
    <sheetView zoomScale="150" zoomScaleNormal="150" workbookViewId="0" topLeftCell="A1">
      <selection activeCell="A1" sqref="A1"/>
    </sheetView>
  </sheetViews>
  <sheetFormatPr defaultColWidth="9.140625" defaultRowHeight="12.75"/>
  <cols>
    <col min="1" max="1" width="78.57421875" style="93" customWidth="1"/>
  </cols>
  <sheetData>
    <row r="1" ht="12.75">
      <c r="A1" s="94" t="s">
        <v>785</v>
      </c>
    </row>
    <row r="2" ht="36">
      <c r="A2" s="93" t="s">
        <v>786</v>
      </c>
    </row>
    <row r="3" ht="70.5">
      <c r="A3" s="93" t="s">
        <v>787</v>
      </c>
    </row>
    <row r="4" ht="59.25">
      <c r="A4" s="93" t="s">
        <v>788</v>
      </c>
    </row>
    <row r="5" ht="36">
      <c r="A5" s="93" t="s">
        <v>789</v>
      </c>
    </row>
    <row r="7" ht="12.75">
      <c r="A7" s="94" t="s">
        <v>790</v>
      </c>
    </row>
    <row r="8" ht="48">
      <c r="A8" s="93" t="s">
        <v>791</v>
      </c>
    </row>
    <row r="9" ht="48">
      <c r="A9" s="93" t="s">
        <v>792</v>
      </c>
    </row>
    <row r="10" ht="24.75">
      <c r="A10" s="93" t="s">
        <v>793</v>
      </c>
    </row>
    <row r="12" ht="12.75">
      <c r="A12" s="94" t="s">
        <v>794</v>
      </c>
    </row>
    <row r="13" ht="36">
      <c r="A13" s="95" t="s">
        <v>795</v>
      </c>
    </row>
    <row r="15" ht="12.75">
      <c r="A15" s="94" t="s">
        <v>796</v>
      </c>
    </row>
    <row r="16" ht="36">
      <c r="A16" s="93" t="s">
        <v>797</v>
      </c>
    </row>
    <row r="17" ht="48">
      <c r="A17" s="93" t="s">
        <v>798</v>
      </c>
    </row>
    <row r="18" ht="70.5">
      <c r="A18" s="93" t="s">
        <v>799</v>
      </c>
    </row>
    <row r="20" ht="12.75">
      <c r="A20" s="94" t="s">
        <v>800</v>
      </c>
    </row>
    <row r="21" ht="47.25">
      <c r="A21" s="93" t="s">
        <v>801</v>
      </c>
    </row>
    <row r="23" ht="12.75">
      <c r="A23" s="94" t="s">
        <v>802</v>
      </c>
    </row>
    <row r="24" ht="24">
      <c r="A24" s="95" t="s">
        <v>803</v>
      </c>
    </row>
    <row r="25" ht="12">
      <c r="A25" s="95"/>
    </row>
    <row r="26" ht="12.75">
      <c r="A26" s="94" t="s">
        <v>804</v>
      </c>
    </row>
    <row r="27" ht="47.25">
      <c r="A27" s="95" t="s">
        <v>805</v>
      </c>
    </row>
    <row r="28" ht="12">
      <c r="A28" s="95"/>
    </row>
    <row r="29" ht="12.75">
      <c r="A29" s="94" t="s">
        <v>806</v>
      </c>
    </row>
    <row r="30" ht="59.25">
      <c r="A30" s="93" t="s">
        <v>807</v>
      </c>
    </row>
    <row r="32" ht="12.75">
      <c r="A32" s="94" t="s">
        <v>808</v>
      </c>
    </row>
    <row r="33" ht="24">
      <c r="A33" s="93" t="s">
        <v>809</v>
      </c>
    </row>
    <row r="35" ht="12.75">
      <c r="A35" s="94" t="s">
        <v>810</v>
      </c>
    </row>
    <row r="36" ht="24">
      <c r="A36" s="93" t="s">
        <v>811</v>
      </c>
    </row>
  </sheetData>
  <printOptions horizontalCentered="1" verticalCentered="1"/>
  <pageMargins left="0.7479166666666667" right="0.7479166666666667" top="1.18125" bottom="0.9840277777777777" header="0.5118055555555555" footer="0.5118055555555555"/>
  <pageSetup horizontalDpi="300" verticalDpi="300" orientation="portrait" paperSize="9"/>
  <headerFooter alignWithMargins="0">
    <oddHeader>&amp;L&amp;"Monotype Corsiva,Regular"&amp;16Joint Morris Organisations
The Morris Ring&amp;C&amp;"Monotype Corsiva,Regular"&amp;16&amp;A&amp;R&amp;"Monotype Corsiva,Regular"&amp;16Cambridge Morris Men</oddHeader>
    <oddFooter>&amp;L&amp;F&amp;Cpage &amp;P of &amp;N&amp;R&amp;T on &amp;D</oddFooter>
  </headerFooter>
</worksheet>
</file>

<file path=xl/worksheets/sheet7.xml><?xml version="1.0" encoding="utf-8"?>
<worksheet xmlns="http://schemas.openxmlformats.org/spreadsheetml/2006/main" xmlns:r="http://schemas.openxmlformats.org/officeDocument/2006/relationships">
  <dimension ref="A1:G65"/>
  <sheetViews>
    <sheetView zoomScale="150" zoomScaleNormal="150" workbookViewId="0" topLeftCell="A1">
      <selection activeCell="A1" sqref="A1"/>
    </sheetView>
  </sheetViews>
  <sheetFormatPr defaultColWidth="9.140625" defaultRowHeight="12.75"/>
  <cols>
    <col min="1" max="1" width="17.7109375" style="11" customWidth="1"/>
    <col min="2" max="7" width="19.00390625" style="96" customWidth="1"/>
    <col min="8" max="17" width="1.7109375" style="9" customWidth="1"/>
    <col min="18" max="16384" width="9.140625" style="9" customWidth="1"/>
  </cols>
  <sheetData>
    <row r="1" spans="1:7" s="97" customFormat="1" ht="15" customHeight="1">
      <c r="A1" s="97" t="s">
        <v>812</v>
      </c>
      <c r="B1" s="98" t="s">
        <v>813</v>
      </c>
      <c r="C1" s="99" t="s">
        <v>814</v>
      </c>
      <c r="D1" s="99" t="s">
        <v>815</v>
      </c>
      <c r="E1" s="99" t="s">
        <v>816</v>
      </c>
      <c r="F1" s="99" t="s">
        <v>817</v>
      </c>
      <c r="G1" s="99" t="s">
        <v>818</v>
      </c>
    </row>
    <row r="2" spans="1:7" ht="12.75">
      <c r="A2" s="58" t="s">
        <v>819</v>
      </c>
      <c r="B2" s="100" t="s">
        <v>820</v>
      </c>
      <c r="C2" s="100" t="s">
        <v>821</v>
      </c>
      <c r="D2" s="100" t="s">
        <v>822</v>
      </c>
      <c r="E2" s="100" t="s">
        <v>823</v>
      </c>
      <c r="F2" s="100" t="s">
        <v>824</v>
      </c>
      <c r="G2" s="100" t="s">
        <v>825</v>
      </c>
    </row>
    <row r="3" spans="1:7" ht="12">
      <c r="A3" s="101" t="s">
        <v>826</v>
      </c>
      <c r="B3" s="100" t="s">
        <v>820</v>
      </c>
      <c r="C3" s="100" t="s">
        <v>827</v>
      </c>
      <c r="D3" s="100" t="s">
        <v>823</v>
      </c>
      <c r="E3" s="100" t="s">
        <v>828</v>
      </c>
      <c r="F3" s="100" t="s">
        <v>829</v>
      </c>
      <c r="G3" s="100" t="s">
        <v>830</v>
      </c>
    </row>
    <row r="4" spans="1:7" ht="12">
      <c r="A4" s="101" t="s">
        <v>831</v>
      </c>
      <c r="B4" s="100" t="s">
        <v>832</v>
      </c>
      <c r="C4" s="100" t="s">
        <v>833</v>
      </c>
      <c r="D4" s="100" t="s">
        <v>834</v>
      </c>
      <c r="E4" s="100" t="s">
        <v>823</v>
      </c>
      <c r="F4" s="100" t="s">
        <v>835</v>
      </c>
      <c r="G4" s="100" t="s">
        <v>836</v>
      </c>
    </row>
    <row r="5" spans="1:7" ht="15" customHeight="1">
      <c r="A5" s="65" t="s">
        <v>837</v>
      </c>
      <c r="B5" s="100" t="s">
        <v>833</v>
      </c>
      <c r="C5" s="100" t="s">
        <v>834</v>
      </c>
      <c r="D5" s="100" t="s">
        <v>835</v>
      </c>
      <c r="E5" s="100" t="s">
        <v>823</v>
      </c>
      <c r="F5" s="100" t="s">
        <v>836</v>
      </c>
      <c r="G5" s="100" t="s">
        <v>838</v>
      </c>
    </row>
    <row r="6" spans="1:7" s="63" customFormat="1" ht="12.75">
      <c r="A6" s="58" t="s">
        <v>839</v>
      </c>
      <c r="B6" s="100" t="s">
        <v>832</v>
      </c>
      <c r="C6" s="100" t="s">
        <v>840</v>
      </c>
      <c r="D6" s="100" t="s">
        <v>823</v>
      </c>
      <c r="E6" s="100" t="s">
        <v>841</v>
      </c>
      <c r="F6" s="100" t="s">
        <v>842</v>
      </c>
      <c r="G6" s="100" t="s">
        <v>843</v>
      </c>
    </row>
    <row r="7" spans="1:7" s="63" customFormat="1" ht="24.75">
      <c r="A7" s="65" t="s">
        <v>844</v>
      </c>
      <c r="B7" s="100" t="s">
        <v>820</v>
      </c>
      <c r="C7" s="100" t="s">
        <v>832</v>
      </c>
      <c r="D7" s="100" t="s">
        <v>827</v>
      </c>
      <c r="E7" s="100" t="s">
        <v>823</v>
      </c>
      <c r="F7" s="100" t="s">
        <v>840</v>
      </c>
      <c r="G7" s="100" t="s">
        <v>828</v>
      </c>
    </row>
    <row r="8" spans="1:7" s="63" customFormat="1" ht="12.75">
      <c r="A8" s="58" t="s">
        <v>845</v>
      </c>
      <c r="B8" s="100" t="s">
        <v>827</v>
      </c>
      <c r="C8" s="100" t="s">
        <v>820</v>
      </c>
      <c r="D8" s="100" t="s">
        <v>821</v>
      </c>
      <c r="E8" s="100" t="s">
        <v>823</v>
      </c>
      <c r="F8" s="100" t="s">
        <v>822</v>
      </c>
      <c r="G8" s="100" t="s">
        <v>824</v>
      </c>
    </row>
    <row r="9" spans="1:7" s="63" customFormat="1" ht="24.75">
      <c r="A9" s="65" t="s">
        <v>846</v>
      </c>
      <c r="B9" s="100" t="s">
        <v>827</v>
      </c>
      <c r="C9" s="100" t="s">
        <v>828</v>
      </c>
      <c r="D9" s="100" t="s">
        <v>823</v>
      </c>
      <c r="E9" s="100" t="s">
        <v>829</v>
      </c>
      <c r="F9" s="100" t="s">
        <v>830</v>
      </c>
      <c r="G9" s="100" t="s">
        <v>847</v>
      </c>
    </row>
    <row r="10" spans="1:7" ht="24.75">
      <c r="A10" s="65" t="s">
        <v>848</v>
      </c>
      <c r="B10" s="100" t="s">
        <v>825</v>
      </c>
      <c r="C10" s="100" t="s">
        <v>836</v>
      </c>
      <c r="D10" s="100" t="s">
        <v>824</v>
      </c>
      <c r="E10" s="100" t="s">
        <v>823</v>
      </c>
      <c r="F10" s="100" t="s">
        <v>835</v>
      </c>
      <c r="G10" s="100" t="s">
        <v>822</v>
      </c>
    </row>
    <row r="11" spans="1:7" ht="12.75">
      <c r="A11" s="58" t="s">
        <v>849</v>
      </c>
      <c r="B11" s="100" t="s">
        <v>832</v>
      </c>
      <c r="C11" s="100" t="s">
        <v>827</v>
      </c>
      <c r="D11" s="100" t="s">
        <v>823</v>
      </c>
      <c r="E11" s="100" t="s">
        <v>840</v>
      </c>
      <c r="F11" s="100" t="s">
        <v>828</v>
      </c>
      <c r="G11" s="100" t="s">
        <v>841</v>
      </c>
    </row>
    <row r="12" spans="1:7" ht="12.75">
      <c r="A12" s="58" t="s">
        <v>850</v>
      </c>
      <c r="B12" s="100" t="s">
        <v>836</v>
      </c>
      <c r="C12" s="100" t="s">
        <v>824</v>
      </c>
      <c r="D12" s="100" t="s">
        <v>823</v>
      </c>
      <c r="E12" s="100" t="s">
        <v>835</v>
      </c>
      <c r="F12" s="100" t="s">
        <v>822</v>
      </c>
      <c r="G12" s="100" t="s">
        <v>834</v>
      </c>
    </row>
    <row r="13" spans="1:7" ht="12.75">
      <c r="A13" s="58" t="s">
        <v>851</v>
      </c>
      <c r="B13" s="100" t="s">
        <v>840</v>
      </c>
      <c r="C13" s="100" t="s">
        <v>841</v>
      </c>
      <c r="D13" s="100" t="s">
        <v>842</v>
      </c>
      <c r="E13" s="100" t="s">
        <v>823</v>
      </c>
      <c r="F13" s="100" t="s">
        <v>843</v>
      </c>
      <c r="G13" s="100" t="s">
        <v>838</v>
      </c>
    </row>
    <row r="14" spans="1:7" ht="15" customHeight="1">
      <c r="A14" s="58" t="s">
        <v>852</v>
      </c>
      <c r="B14" s="100" t="s">
        <v>828</v>
      </c>
      <c r="C14" s="100" t="s">
        <v>827</v>
      </c>
      <c r="D14" s="100" t="s">
        <v>823</v>
      </c>
      <c r="E14" s="100" t="s">
        <v>820</v>
      </c>
      <c r="F14" s="100" t="s">
        <v>821</v>
      </c>
      <c r="G14" s="100" t="s">
        <v>822</v>
      </c>
    </row>
    <row r="15" spans="1:7" ht="12.75">
      <c r="A15" s="58" t="s">
        <v>853</v>
      </c>
      <c r="B15" s="100" t="s">
        <v>824</v>
      </c>
      <c r="C15" s="100" t="s">
        <v>835</v>
      </c>
      <c r="D15" s="100" t="s">
        <v>822</v>
      </c>
      <c r="E15" s="100" t="s">
        <v>823</v>
      </c>
      <c r="F15" s="100" t="s">
        <v>834</v>
      </c>
      <c r="G15" s="100" t="s">
        <v>821</v>
      </c>
    </row>
    <row r="16" spans="1:7" ht="12.75">
      <c r="A16" s="58" t="s">
        <v>854</v>
      </c>
      <c r="B16" s="100" t="s">
        <v>822</v>
      </c>
      <c r="C16" s="100" t="s">
        <v>824</v>
      </c>
      <c r="D16" s="100" t="s">
        <v>823</v>
      </c>
      <c r="E16" s="100" t="s">
        <v>825</v>
      </c>
      <c r="F16" s="100" t="s">
        <v>847</v>
      </c>
      <c r="G16" s="100" t="s">
        <v>830</v>
      </c>
    </row>
    <row r="17" spans="1:7" ht="12.75">
      <c r="A17" s="58" t="s">
        <v>855</v>
      </c>
      <c r="B17" s="100" t="s">
        <v>835</v>
      </c>
      <c r="C17" s="100" t="s">
        <v>822</v>
      </c>
      <c r="D17" s="100" t="s">
        <v>823</v>
      </c>
      <c r="E17" s="100" t="s">
        <v>834</v>
      </c>
      <c r="F17" s="100" t="s">
        <v>821</v>
      </c>
      <c r="G17" s="100" t="s">
        <v>833</v>
      </c>
    </row>
    <row r="18" spans="1:7" ht="15" customHeight="1">
      <c r="A18" s="101" t="s">
        <v>856</v>
      </c>
      <c r="B18" s="100" t="s">
        <v>821</v>
      </c>
      <c r="C18" s="100" t="s">
        <v>820</v>
      </c>
      <c r="D18" s="100" t="s">
        <v>823</v>
      </c>
      <c r="E18" s="100" t="s">
        <v>827</v>
      </c>
      <c r="F18" s="100" t="s">
        <v>828</v>
      </c>
      <c r="G18" s="100" t="s">
        <v>829</v>
      </c>
    </row>
    <row r="19" spans="1:7" ht="12.75">
      <c r="A19" s="58" t="s">
        <v>857</v>
      </c>
      <c r="B19" s="100" t="s">
        <v>828</v>
      </c>
      <c r="C19" s="100" t="s">
        <v>829</v>
      </c>
      <c r="D19" s="100" t="s">
        <v>830</v>
      </c>
      <c r="E19" s="100" t="s">
        <v>823</v>
      </c>
      <c r="F19" s="100" t="s">
        <v>847</v>
      </c>
      <c r="G19" s="100" t="s">
        <v>825</v>
      </c>
    </row>
    <row r="20" spans="1:7" ht="12.75">
      <c r="A20" s="58" t="s">
        <v>858</v>
      </c>
      <c r="B20" s="100" t="s">
        <v>841</v>
      </c>
      <c r="C20" s="100" t="s">
        <v>840</v>
      </c>
      <c r="D20" s="100" t="s">
        <v>823</v>
      </c>
      <c r="E20" s="100" t="s">
        <v>832</v>
      </c>
      <c r="F20" s="100" t="s">
        <v>833</v>
      </c>
      <c r="G20" s="100" t="s">
        <v>834</v>
      </c>
    </row>
    <row r="21" spans="1:7" ht="12.75">
      <c r="A21" s="58" t="s">
        <v>859</v>
      </c>
      <c r="B21" s="100" t="s">
        <v>841</v>
      </c>
      <c r="C21" s="100" t="s">
        <v>842</v>
      </c>
      <c r="D21" s="100" t="s">
        <v>843</v>
      </c>
      <c r="E21" s="100" t="s">
        <v>823</v>
      </c>
      <c r="F21" s="100" t="s">
        <v>838</v>
      </c>
      <c r="G21" s="100" t="s">
        <v>836</v>
      </c>
    </row>
    <row r="22" spans="1:7" ht="15" customHeight="1">
      <c r="A22" s="58" t="s">
        <v>860</v>
      </c>
      <c r="B22" s="100" t="s">
        <v>842</v>
      </c>
      <c r="C22" s="100" t="s">
        <v>830</v>
      </c>
      <c r="D22" s="100" t="s">
        <v>823</v>
      </c>
      <c r="E22" s="100" t="s">
        <v>843</v>
      </c>
      <c r="F22" s="100" t="s">
        <v>847</v>
      </c>
      <c r="G22" s="100" t="s">
        <v>838</v>
      </c>
    </row>
    <row r="23" spans="1:7" ht="12.75">
      <c r="A23" s="58" t="s">
        <v>861</v>
      </c>
      <c r="B23" s="100" t="s">
        <v>821</v>
      </c>
      <c r="C23" s="100" t="s">
        <v>822</v>
      </c>
      <c r="D23" s="100" t="s">
        <v>824</v>
      </c>
      <c r="E23" s="100" t="s">
        <v>823</v>
      </c>
      <c r="F23" s="100" t="s">
        <v>825</v>
      </c>
      <c r="G23" s="100" t="s">
        <v>847</v>
      </c>
    </row>
    <row r="24" spans="1:7" ht="12.75">
      <c r="A24" s="58" t="s">
        <v>862</v>
      </c>
      <c r="B24" s="100" t="s">
        <v>838</v>
      </c>
      <c r="C24" s="100" t="s">
        <v>836</v>
      </c>
      <c r="D24" s="100" t="s">
        <v>823</v>
      </c>
      <c r="E24" s="100" t="s">
        <v>835</v>
      </c>
      <c r="F24" s="100" t="s">
        <v>834</v>
      </c>
      <c r="G24" s="100" t="s">
        <v>833</v>
      </c>
    </row>
    <row r="25" spans="1:7" ht="12.75">
      <c r="A25" s="58" t="s">
        <v>863</v>
      </c>
      <c r="B25" s="100" t="s">
        <v>827</v>
      </c>
      <c r="C25" s="100" t="s">
        <v>840</v>
      </c>
      <c r="D25" s="100" t="s">
        <v>828</v>
      </c>
      <c r="E25" s="100" t="s">
        <v>823</v>
      </c>
      <c r="F25" s="100" t="s">
        <v>841</v>
      </c>
      <c r="G25" s="100" t="s">
        <v>829</v>
      </c>
    </row>
    <row r="26" spans="1:7" ht="12.75">
      <c r="A26" s="58" t="s">
        <v>864</v>
      </c>
      <c r="B26" s="100" t="s">
        <v>829</v>
      </c>
      <c r="C26" s="100" t="s">
        <v>830</v>
      </c>
      <c r="D26" s="100" t="s">
        <v>823</v>
      </c>
      <c r="E26" s="100" t="s">
        <v>847</v>
      </c>
      <c r="F26" s="100" t="s">
        <v>825</v>
      </c>
      <c r="G26" s="100" t="s">
        <v>824</v>
      </c>
    </row>
    <row r="27" spans="1:7" ht="24.75">
      <c r="A27" s="58" t="s">
        <v>865</v>
      </c>
      <c r="B27" s="100" t="s">
        <v>822</v>
      </c>
      <c r="C27" s="100" t="s">
        <v>834</v>
      </c>
      <c r="D27" s="100" t="s">
        <v>821</v>
      </c>
      <c r="E27" s="100" t="s">
        <v>823</v>
      </c>
      <c r="F27" s="100" t="s">
        <v>833</v>
      </c>
      <c r="G27" s="100" t="s">
        <v>820</v>
      </c>
    </row>
    <row r="28" spans="1:7" ht="12.75">
      <c r="A28" s="58" t="s">
        <v>866</v>
      </c>
      <c r="B28" s="100" t="s">
        <v>842</v>
      </c>
      <c r="C28" s="100" t="s">
        <v>841</v>
      </c>
      <c r="D28" s="100" t="s">
        <v>840</v>
      </c>
      <c r="E28" s="100" t="s">
        <v>823</v>
      </c>
      <c r="F28" s="100" t="s">
        <v>832</v>
      </c>
      <c r="G28" s="100" t="s">
        <v>833</v>
      </c>
    </row>
    <row r="29" spans="1:7" ht="12.75">
      <c r="A29" s="58" t="s">
        <v>867</v>
      </c>
      <c r="B29" s="100" t="s">
        <v>847</v>
      </c>
      <c r="C29" s="100" t="s">
        <v>838</v>
      </c>
      <c r="D29" s="100" t="s">
        <v>825</v>
      </c>
      <c r="E29" s="100" t="s">
        <v>823</v>
      </c>
      <c r="F29" s="100" t="s">
        <v>836</v>
      </c>
      <c r="G29" s="100" t="s">
        <v>824</v>
      </c>
    </row>
    <row r="30" spans="1:7" ht="12.75">
      <c r="A30" s="58" t="s">
        <v>868</v>
      </c>
      <c r="B30" s="100" t="s">
        <v>842</v>
      </c>
      <c r="C30" s="100" t="s">
        <v>843</v>
      </c>
      <c r="D30" s="100" t="s">
        <v>823</v>
      </c>
      <c r="E30" s="100" t="s">
        <v>838</v>
      </c>
      <c r="F30" s="100" t="s">
        <v>836</v>
      </c>
      <c r="G30" s="100" t="s">
        <v>835</v>
      </c>
    </row>
    <row r="31" spans="1:7" ht="12.75">
      <c r="A31" s="58" t="s">
        <v>869</v>
      </c>
      <c r="B31" s="100"/>
      <c r="C31" s="100"/>
      <c r="D31" s="100"/>
      <c r="E31" s="100"/>
      <c r="F31" s="100" t="s">
        <v>834</v>
      </c>
      <c r="G31" s="100" t="s">
        <v>821</v>
      </c>
    </row>
    <row r="32" spans="1:7" ht="12.75">
      <c r="A32" s="58" t="s">
        <v>870</v>
      </c>
      <c r="B32" s="100" t="s">
        <v>840</v>
      </c>
      <c r="C32" s="100" t="s">
        <v>828</v>
      </c>
      <c r="D32" s="100" t="s">
        <v>823</v>
      </c>
      <c r="E32" s="100" t="s">
        <v>841</v>
      </c>
      <c r="F32" s="100" t="s">
        <v>829</v>
      </c>
      <c r="G32" s="100" t="s">
        <v>842</v>
      </c>
    </row>
    <row r="33" spans="1:7" ht="12.75">
      <c r="A33" s="58" t="s">
        <v>871</v>
      </c>
      <c r="B33" s="100" t="s">
        <v>830</v>
      </c>
      <c r="C33" s="100" t="s">
        <v>829</v>
      </c>
      <c r="D33" s="100" t="s">
        <v>828</v>
      </c>
      <c r="E33" s="100" t="s">
        <v>823</v>
      </c>
      <c r="F33" s="100" t="s">
        <v>827</v>
      </c>
      <c r="G33" s="100" t="s">
        <v>820</v>
      </c>
    </row>
    <row r="34" spans="1:7" ht="12.75">
      <c r="A34" s="58" t="s">
        <v>872</v>
      </c>
      <c r="B34" s="100" t="s">
        <v>821</v>
      </c>
      <c r="C34" s="100" t="s">
        <v>822</v>
      </c>
      <c r="D34" s="100" t="s">
        <v>824</v>
      </c>
      <c r="E34" s="100" t="s">
        <v>823</v>
      </c>
      <c r="F34" s="100" t="s">
        <v>825</v>
      </c>
      <c r="G34" s="100" t="s">
        <v>847</v>
      </c>
    </row>
    <row r="35" spans="1:7" s="63" customFormat="1" ht="15" customHeight="1">
      <c r="A35" s="58" t="s">
        <v>873</v>
      </c>
      <c r="B35" s="100" t="s">
        <v>829</v>
      </c>
      <c r="C35" s="100" t="s">
        <v>828</v>
      </c>
      <c r="D35" s="100" t="s">
        <v>823</v>
      </c>
      <c r="E35" s="100" t="s">
        <v>827</v>
      </c>
      <c r="F35" s="100" t="s">
        <v>820</v>
      </c>
      <c r="G35" s="100" t="s">
        <v>821</v>
      </c>
    </row>
    <row r="36" spans="1:7" ht="12.75">
      <c r="A36" s="58" t="s">
        <v>874</v>
      </c>
      <c r="B36" s="100" t="s">
        <v>834</v>
      </c>
      <c r="C36" s="100" t="s">
        <v>835</v>
      </c>
      <c r="D36" s="100" t="s">
        <v>823</v>
      </c>
      <c r="E36" s="100" t="s">
        <v>836</v>
      </c>
      <c r="F36" s="100" t="s">
        <v>838</v>
      </c>
      <c r="G36" s="100" t="s">
        <v>843</v>
      </c>
    </row>
    <row r="37" spans="1:7" ht="12.75">
      <c r="A37" s="58" t="s">
        <v>875</v>
      </c>
      <c r="B37" s="100" t="s">
        <v>830</v>
      </c>
      <c r="C37" s="100" t="s">
        <v>847</v>
      </c>
      <c r="D37" s="100" t="s">
        <v>825</v>
      </c>
      <c r="E37" s="100" t="s">
        <v>823</v>
      </c>
      <c r="F37" s="100" t="s">
        <v>824</v>
      </c>
      <c r="G37" s="100" t="s">
        <v>822</v>
      </c>
    </row>
    <row r="38" spans="1:7" ht="12">
      <c r="A38" s="57" t="s">
        <v>876</v>
      </c>
      <c r="B38" s="100" t="s">
        <v>834</v>
      </c>
      <c r="C38" s="100" t="s">
        <v>833</v>
      </c>
      <c r="D38" s="100" t="s">
        <v>832</v>
      </c>
      <c r="E38" s="100" t="s">
        <v>823</v>
      </c>
      <c r="F38" s="100" t="s">
        <v>840</v>
      </c>
      <c r="G38" s="100" t="s">
        <v>841</v>
      </c>
    </row>
    <row r="39" spans="1:7" ht="12">
      <c r="A39" s="102" t="s">
        <v>877</v>
      </c>
      <c r="B39" s="100" t="s">
        <v>833</v>
      </c>
      <c r="C39" s="100" t="s">
        <v>834</v>
      </c>
      <c r="D39" s="100" t="s">
        <v>835</v>
      </c>
      <c r="E39" s="100" t="s">
        <v>823</v>
      </c>
      <c r="F39" s="100" t="s">
        <v>836</v>
      </c>
      <c r="G39" s="100" t="s">
        <v>838</v>
      </c>
    </row>
    <row r="40" spans="1:7" ht="24.75">
      <c r="A40" s="58" t="s">
        <v>878</v>
      </c>
      <c r="B40" s="100" t="s">
        <v>840</v>
      </c>
      <c r="C40" s="100" t="s">
        <v>832</v>
      </c>
      <c r="D40" s="100" t="s">
        <v>823</v>
      </c>
      <c r="E40" s="100" t="s">
        <v>833</v>
      </c>
      <c r="F40" s="100" t="s">
        <v>834</v>
      </c>
      <c r="G40" s="100" t="s">
        <v>835</v>
      </c>
    </row>
    <row r="41" spans="1:7" ht="12.75">
      <c r="A41" s="58" t="s">
        <v>879</v>
      </c>
      <c r="B41" s="100" t="s">
        <v>843</v>
      </c>
      <c r="C41" s="100" t="s">
        <v>842</v>
      </c>
      <c r="D41" s="100" t="s">
        <v>823</v>
      </c>
      <c r="E41" s="100" t="s">
        <v>841</v>
      </c>
      <c r="F41" s="100" t="s">
        <v>840</v>
      </c>
      <c r="G41" s="100" t="s">
        <v>832</v>
      </c>
    </row>
    <row r="42" spans="1:7" ht="12">
      <c r="A42" s="101" t="s">
        <v>880</v>
      </c>
      <c r="B42" s="100" t="s">
        <v>843</v>
      </c>
      <c r="C42" s="100" t="s">
        <v>838</v>
      </c>
      <c r="D42" s="100" t="s">
        <v>836</v>
      </c>
      <c r="E42" s="100" t="s">
        <v>823</v>
      </c>
      <c r="F42" s="100" t="s">
        <v>835</v>
      </c>
      <c r="G42" s="100" t="s">
        <v>834</v>
      </c>
    </row>
    <row r="43" spans="1:7" ht="12.75">
      <c r="A43" s="58" t="s">
        <v>881</v>
      </c>
      <c r="B43" s="100" t="s">
        <v>847</v>
      </c>
      <c r="C43" s="100" t="s">
        <v>830</v>
      </c>
      <c r="D43" s="100" t="s">
        <v>823</v>
      </c>
      <c r="E43" s="100" t="s">
        <v>829</v>
      </c>
      <c r="F43" s="100" t="s">
        <v>828</v>
      </c>
      <c r="G43" s="100" t="s">
        <v>827</v>
      </c>
    </row>
    <row r="44" spans="1:7" ht="12.75">
      <c r="A44" s="58" t="s">
        <v>882</v>
      </c>
      <c r="B44" s="100" t="s">
        <v>833</v>
      </c>
      <c r="C44" s="100" t="s">
        <v>832</v>
      </c>
      <c r="D44" s="100" t="s">
        <v>840</v>
      </c>
      <c r="E44" s="100" t="s">
        <v>823</v>
      </c>
      <c r="F44" s="100" t="s">
        <v>841</v>
      </c>
      <c r="G44" s="100" t="s">
        <v>842</v>
      </c>
    </row>
    <row r="45" spans="1:7" ht="15" customHeight="1">
      <c r="A45" s="58" t="s">
        <v>883</v>
      </c>
      <c r="B45" s="100" t="s">
        <v>838</v>
      </c>
      <c r="C45" s="100" t="s">
        <v>843</v>
      </c>
      <c r="D45" s="100" t="s">
        <v>823</v>
      </c>
      <c r="E45" s="100" t="s">
        <v>842</v>
      </c>
      <c r="F45" s="100" t="s">
        <v>841</v>
      </c>
      <c r="G45" s="100" t="s">
        <v>840</v>
      </c>
    </row>
    <row r="46" spans="1:7" ht="12.75">
      <c r="A46" s="58" t="s">
        <v>884</v>
      </c>
      <c r="B46" s="100" t="s">
        <v>834</v>
      </c>
      <c r="C46" s="100" t="s">
        <v>821</v>
      </c>
      <c r="D46" s="100" t="s">
        <v>823</v>
      </c>
      <c r="E46" s="100" t="s">
        <v>833</v>
      </c>
      <c r="F46" s="100" t="s">
        <v>820</v>
      </c>
      <c r="G46" s="100" t="s">
        <v>832</v>
      </c>
    </row>
    <row r="47" spans="1:7" ht="12.75">
      <c r="A47" s="58" t="s">
        <v>885</v>
      </c>
      <c r="B47" s="100" t="s">
        <v>830</v>
      </c>
      <c r="C47" s="100" t="s">
        <v>843</v>
      </c>
      <c r="D47" s="100" t="s">
        <v>847</v>
      </c>
      <c r="E47" s="100" t="s">
        <v>823</v>
      </c>
      <c r="F47" s="100" t="s">
        <v>838</v>
      </c>
      <c r="G47" s="100" t="s">
        <v>825</v>
      </c>
    </row>
    <row r="48" spans="1:7" ht="12.75">
      <c r="A48" s="58" t="s">
        <v>886</v>
      </c>
      <c r="B48" s="100" t="s">
        <v>835</v>
      </c>
      <c r="C48" s="100" t="s">
        <v>834</v>
      </c>
      <c r="D48" s="100" t="s">
        <v>833</v>
      </c>
      <c r="E48" s="100" t="s">
        <v>823</v>
      </c>
      <c r="F48" s="100" t="s">
        <v>832</v>
      </c>
      <c r="G48" s="100" t="s">
        <v>840</v>
      </c>
    </row>
    <row r="49" spans="1:7" ht="12.75">
      <c r="A49" s="58" t="s">
        <v>887</v>
      </c>
      <c r="B49" s="100" t="s">
        <v>838</v>
      </c>
      <c r="C49" s="100" t="s">
        <v>825</v>
      </c>
      <c r="D49" s="100" t="s">
        <v>823</v>
      </c>
      <c r="E49" s="100" t="s">
        <v>836</v>
      </c>
      <c r="F49" s="100" t="s">
        <v>824</v>
      </c>
      <c r="G49" s="100" t="s">
        <v>835</v>
      </c>
    </row>
    <row r="50" spans="1:7" ht="15" customHeight="1">
      <c r="A50" s="58" t="s">
        <v>888</v>
      </c>
      <c r="B50" s="100" t="s">
        <v>825</v>
      </c>
      <c r="C50" s="100" t="s">
        <v>847</v>
      </c>
      <c r="D50" s="100" t="s">
        <v>830</v>
      </c>
      <c r="E50" s="100" t="s">
        <v>823</v>
      </c>
      <c r="F50" s="100" t="s">
        <v>829</v>
      </c>
      <c r="G50" s="100" t="s">
        <v>828</v>
      </c>
    </row>
    <row r="51" spans="1:7" ht="24.75">
      <c r="A51" s="65" t="s">
        <v>889</v>
      </c>
      <c r="B51" s="100" t="s">
        <v>821</v>
      </c>
      <c r="C51" s="100" t="s">
        <v>833</v>
      </c>
      <c r="D51" s="100" t="s">
        <v>820</v>
      </c>
      <c r="E51" s="100" t="s">
        <v>823</v>
      </c>
      <c r="F51" s="100" t="s">
        <v>832</v>
      </c>
      <c r="G51" s="100" t="s">
        <v>827</v>
      </c>
    </row>
    <row r="52" spans="1:7" ht="12.75">
      <c r="A52" s="58" t="s">
        <v>890</v>
      </c>
      <c r="B52" s="100" t="s">
        <v>825</v>
      </c>
      <c r="C52" s="100" t="s">
        <v>824</v>
      </c>
      <c r="D52" s="100" t="s">
        <v>823</v>
      </c>
      <c r="E52" s="100" t="s">
        <v>822</v>
      </c>
      <c r="F52" s="100" t="s">
        <v>821</v>
      </c>
      <c r="G52" s="100" t="s">
        <v>820</v>
      </c>
    </row>
    <row r="53" spans="1:7" ht="12.75">
      <c r="A53" s="58" t="s">
        <v>891</v>
      </c>
      <c r="B53" s="100" t="s">
        <v>836</v>
      </c>
      <c r="C53" s="100" t="s">
        <v>838</v>
      </c>
      <c r="D53" s="100" t="s">
        <v>843</v>
      </c>
      <c r="E53" s="100" t="s">
        <v>823</v>
      </c>
      <c r="F53" s="100" t="s">
        <v>842</v>
      </c>
      <c r="G53" s="100" t="s">
        <v>841</v>
      </c>
    </row>
    <row r="54" spans="1:7" ht="12">
      <c r="A54" s="101" t="s">
        <v>892</v>
      </c>
      <c r="B54" s="100" t="s">
        <v>836</v>
      </c>
      <c r="C54" s="100" t="s">
        <v>835</v>
      </c>
      <c r="D54" s="100" t="s">
        <v>823</v>
      </c>
      <c r="E54" s="100" t="s">
        <v>834</v>
      </c>
      <c r="F54" s="100" t="s">
        <v>833</v>
      </c>
      <c r="G54" s="100" t="s">
        <v>832</v>
      </c>
    </row>
    <row r="55" spans="1:7" ht="15" customHeight="1">
      <c r="A55" s="58" t="s">
        <v>893</v>
      </c>
      <c r="B55" s="100" t="s">
        <v>824</v>
      </c>
      <c r="C55" s="100" t="s">
        <v>825</v>
      </c>
      <c r="D55" s="100" t="s">
        <v>847</v>
      </c>
      <c r="E55" s="100" t="s">
        <v>823</v>
      </c>
      <c r="F55" s="100" t="s">
        <v>830</v>
      </c>
      <c r="G55" s="100" t="s">
        <v>829</v>
      </c>
    </row>
    <row r="56" spans="1:7" ht="12.75">
      <c r="A56" s="58" t="s">
        <v>894</v>
      </c>
      <c r="B56" s="100" t="s">
        <v>824</v>
      </c>
      <c r="C56" s="100" t="s">
        <v>822</v>
      </c>
      <c r="D56" s="100" t="s">
        <v>823</v>
      </c>
      <c r="E56" s="100" t="s">
        <v>821</v>
      </c>
      <c r="F56" s="100" t="s">
        <v>820</v>
      </c>
      <c r="G56" s="100" t="s">
        <v>827</v>
      </c>
    </row>
    <row r="57" spans="1:7" ht="12.75">
      <c r="A57" s="58" t="s">
        <v>895</v>
      </c>
      <c r="B57" s="100" t="s">
        <v>835</v>
      </c>
      <c r="C57" s="100" t="s">
        <v>836</v>
      </c>
      <c r="D57" s="100" t="s">
        <v>838</v>
      </c>
      <c r="E57" s="100" t="s">
        <v>823</v>
      </c>
      <c r="F57" s="100" t="s">
        <v>843</v>
      </c>
      <c r="G57" s="100" t="s">
        <v>842</v>
      </c>
    </row>
    <row r="58" spans="1:7" ht="12.75">
      <c r="A58" s="58" t="s">
        <v>896</v>
      </c>
      <c r="B58" s="100" t="s">
        <v>843</v>
      </c>
      <c r="C58" s="100" t="s">
        <v>847</v>
      </c>
      <c r="D58" s="100" t="s">
        <v>823</v>
      </c>
      <c r="E58" s="100" t="s">
        <v>838</v>
      </c>
      <c r="F58" s="100" t="s">
        <v>825</v>
      </c>
      <c r="G58" s="100" t="s">
        <v>836</v>
      </c>
    </row>
    <row r="59" spans="1:7" ht="12.75">
      <c r="A59" s="58" t="s">
        <v>897</v>
      </c>
      <c r="B59" s="100" t="s">
        <v>822</v>
      </c>
      <c r="C59" s="100" t="s">
        <v>821</v>
      </c>
      <c r="D59" s="100" t="s">
        <v>820</v>
      </c>
      <c r="E59" s="100" t="s">
        <v>823</v>
      </c>
      <c r="F59" s="100" t="s">
        <v>827</v>
      </c>
      <c r="G59" s="100" t="s">
        <v>828</v>
      </c>
    </row>
    <row r="60" spans="1:7" ht="24.75">
      <c r="A60" s="58" t="s">
        <v>898</v>
      </c>
      <c r="B60" s="100" t="s">
        <v>841</v>
      </c>
      <c r="C60" s="100" t="s">
        <v>829</v>
      </c>
      <c r="D60" s="100" t="s">
        <v>823</v>
      </c>
      <c r="E60" s="100" t="s">
        <v>842</v>
      </c>
      <c r="F60" s="100" t="s">
        <v>830</v>
      </c>
      <c r="G60" s="100" t="s">
        <v>843</v>
      </c>
    </row>
    <row r="61" spans="1:7" ht="12.75">
      <c r="A61" s="58" t="s">
        <v>899</v>
      </c>
      <c r="B61" s="100" t="s">
        <v>833</v>
      </c>
      <c r="C61" s="100" t="s">
        <v>820</v>
      </c>
      <c r="D61" s="100" t="s">
        <v>823</v>
      </c>
      <c r="E61" s="100" t="s">
        <v>832</v>
      </c>
      <c r="F61" s="100" t="s">
        <v>827</v>
      </c>
      <c r="G61" s="100" t="s">
        <v>840</v>
      </c>
    </row>
    <row r="62" spans="1:7" ht="12.75">
      <c r="A62" s="58" t="s">
        <v>900</v>
      </c>
      <c r="B62" s="100" t="s">
        <v>829</v>
      </c>
      <c r="C62" s="100" t="s">
        <v>842</v>
      </c>
      <c r="D62" s="100" t="s">
        <v>830</v>
      </c>
      <c r="E62" s="100" t="s">
        <v>823</v>
      </c>
      <c r="F62" s="100" t="s">
        <v>843</v>
      </c>
      <c r="G62" s="100" t="s">
        <v>847</v>
      </c>
    </row>
    <row r="63" spans="1:7" ht="12.75">
      <c r="A63" s="58" t="s">
        <v>901</v>
      </c>
      <c r="B63" s="100" t="s">
        <v>828</v>
      </c>
      <c r="C63" s="100" t="s">
        <v>841</v>
      </c>
      <c r="D63" s="100" t="s">
        <v>829</v>
      </c>
      <c r="E63" s="100" t="s">
        <v>823</v>
      </c>
      <c r="F63" s="100" t="s">
        <v>842</v>
      </c>
      <c r="G63" s="100" t="s">
        <v>830</v>
      </c>
    </row>
    <row r="64" ht="4.5" customHeight="1"/>
    <row r="65" ht="4.5" customHeight="1">
      <c r="A65" s="9"/>
    </row>
    <row r="66" ht="4.5" customHeight="1"/>
    <row r="67" ht="4.5" customHeight="1"/>
    <row r="68" ht="4.5" customHeight="1"/>
  </sheetData>
  <printOptions horizontalCentered="1" verticalCentered="1"/>
  <pageMargins left="0.7479166666666667" right="0.7479166666666667" top="1.18125" bottom="0.9840277777777777" header="0.5118055555555555" footer="0.5118055555555555"/>
  <pageSetup horizontalDpi="300" verticalDpi="300" orientation="landscape" paperSize="9"/>
  <headerFooter alignWithMargins="0">
    <oddHeader>&amp;L&amp;"Monotype Corsiva,Regular"&amp;16Joint Morris Organisations
The Morris Ring&amp;C&amp;"Monotype Corsiva,Regular"&amp;16&amp;A&amp;R&amp;"Monotype Corsiva,Regular"&amp;16Cambridge Morris Men</oddHeader>
    <oddFooter>&amp;L&amp;F&amp;Cpage &amp;P of &amp;N&amp;R&amp;T on &amp;D</oddFooter>
  </headerFooter>
</worksheet>
</file>

<file path=xl/worksheets/sheet8.xml><?xml version="1.0" encoding="utf-8"?>
<worksheet xmlns="http://schemas.openxmlformats.org/spreadsheetml/2006/main" xmlns:r="http://schemas.openxmlformats.org/officeDocument/2006/relationships">
  <dimension ref="A1:AA52"/>
  <sheetViews>
    <sheetView zoomScale="150" zoomScaleNormal="150" workbookViewId="0" topLeftCell="A1">
      <pane xSplit="2" ySplit="2" topLeftCell="C3" activePane="bottomRight" state="frozen"/>
      <selection pane="topLeft" activeCell="A1" sqref="A1"/>
      <selection pane="topRight" activeCell="C1" sqref="C1"/>
      <selection pane="bottomLeft" activeCell="A3" sqref="A3"/>
      <selection pane="bottomRight" activeCell="C3" sqref="C3"/>
    </sheetView>
  </sheetViews>
  <sheetFormatPr defaultColWidth="9.140625" defaultRowHeight="12.75"/>
  <cols>
    <col min="1" max="1" width="0" style="103" hidden="1" customWidth="1"/>
    <col min="2" max="2" width="17.7109375" style="9" customWidth="1"/>
    <col min="3" max="3" width="8.7109375" style="9" customWidth="1"/>
    <col min="4" max="4" width="8.7109375" style="96" customWidth="1"/>
    <col min="5" max="5" width="4.421875" style="104" customWidth="1"/>
    <col min="6" max="6" width="8.7109375" style="105" customWidth="1"/>
    <col min="7" max="7" width="3.28125" style="105" customWidth="1"/>
    <col min="8" max="8" width="17.7109375" style="9" customWidth="1"/>
    <col min="9" max="9" width="28.28125" style="11" customWidth="1"/>
    <col min="10" max="15" width="0" style="11" hidden="1" customWidth="1"/>
    <col min="16" max="18" width="0" style="9" hidden="1" customWidth="1"/>
    <col min="22" max="16384" width="9.140625" style="9" customWidth="1"/>
  </cols>
  <sheetData>
    <row r="1" spans="1:18" s="16" customFormat="1" ht="13.5">
      <c r="A1" s="106"/>
      <c r="C1" s="107" t="s">
        <v>902</v>
      </c>
      <c r="D1" s="107"/>
      <c r="E1" s="108"/>
      <c r="F1" s="109" t="s">
        <v>903</v>
      </c>
      <c r="G1" s="109"/>
      <c r="H1" s="72" t="s">
        <v>904</v>
      </c>
      <c r="I1" s="13"/>
      <c r="J1" s="110" t="s">
        <v>905</v>
      </c>
      <c r="K1" s="110"/>
      <c r="L1" s="110"/>
      <c r="M1" s="110" t="s">
        <v>455</v>
      </c>
      <c r="N1" s="110"/>
      <c r="O1" s="110"/>
      <c r="P1" s="111">
        <v>1</v>
      </c>
      <c r="Q1" s="111">
        <v>-3</v>
      </c>
      <c r="R1" s="111">
        <v>0</v>
      </c>
    </row>
    <row r="2" spans="1:18" s="16" customFormat="1" ht="25.5">
      <c r="A2" s="106" t="s">
        <v>262</v>
      </c>
      <c r="B2" s="16" t="s">
        <v>263</v>
      </c>
      <c r="C2" s="15" t="s">
        <v>906</v>
      </c>
      <c r="D2" s="112" t="s">
        <v>907</v>
      </c>
      <c r="E2" s="108" t="s">
        <v>262</v>
      </c>
      <c r="F2" s="109" t="s">
        <v>908</v>
      </c>
      <c r="G2" s="113" t="s">
        <v>909</v>
      </c>
      <c r="H2" s="16" t="s">
        <v>910</v>
      </c>
      <c r="I2" s="13" t="s">
        <v>21</v>
      </c>
      <c r="J2" s="114" t="s">
        <v>911</v>
      </c>
      <c r="K2" s="114" t="s">
        <v>912</v>
      </c>
      <c r="L2" s="114" t="s">
        <v>913</v>
      </c>
      <c r="M2" s="114"/>
      <c r="N2" s="106" t="s">
        <v>262</v>
      </c>
      <c r="O2" s="16" t="s">
        <v>263</v>
      </c>
      <c r="P2" s="114" t="s">
        <v>911</v>
      </c>
      <c r="Q2" s="114" t="s">
        <v>912</v>
      </c>
      <c r="R2" s="114" t="s">
        <v>913</v>
      </c>
    </row>
    <row r="3" spans="1:12" ht="19.5" customHeight="1">
      <c r="A3" s="103">
        <f>IF(ISNUMBER(E3),E3,0)</f>
        <v>1</v>
      </c>
      <c r="B3" s="9" t="s">
        <v>820</v>
      </c>
      <c r="C3" s="115">
        <v>544762</v>
      </c>
      <c r="D3" s="116">
        <v>258983</v>
      </c>
      <c r="E3" s="104">
        <v>1</v>
      </c>
      <c r="F3" s="117" t="s">
        <v>914</v>
      </c>
      <c r="G3" s="105" t="s">
        <v>915</v>
      </c>
      <c r="H3" s="9" t="s">
        <v>916</v>
      </c>
      <c r="J3" s="11">
        <f>VLOOKUP("Jesus Green",$B$3:$E$31,4,0)</f>
        <v>3</v>
      </c>
      <c r="K3" s="11">
        <f>VLOOKUP("Gt St Mary's",$B$3:$E$31,4,0)</f>
        <v>19</v>
      </c>
      <c r="L3" s="11">
        <f>VLOOKUP("The Maypole",$B$3:$E$31,4,0)</f>
        <v>2</v>
      </c>
    </row>
    <row r="4" spans="1:15" ht="19.5" customHeight="1">
      <c r="A4" s="103">
        <f>IF(ISNUMBER(E4),E4,0)</f>
        <v>2</v>
      </c>
      <c r="B4" s="9" t="s">
        <v>832</v>
      </c>
      <c r="C4" s="115">
        <v>544920</v>
      </c>
      <c r="D4" s="116">
        <v>258938</v>
      </c>
      <c r="E4" s="104">
        <f>E3+1</f>
        <v>2</v>
      </c>
      <c r="F4" s="117" t="s">
        <v>917</v>
      </c>
      <c r="G4" s="105" t="s">
        <v>918</v>
      </c>
      <c r="I4" s="11" t="s">
        <v>919</v>
      </c>
      <c r="J4" s="11">
        <f>VLOOKUP("Fort St George",$B$3:$E$31,4,0)</f>
        <v>4</v>
      </c>
      <c r="K4" s="11" t="e">
        <f>VLOOKUP("Boots",$B$3:$E$31,4,0)</f>
        <v>#N/A</v>
      </c>
      <c r="L4" s="11">
        <f>VLOOKUP("Jesus Green",$B$3:$E$31,4,0)</f>
        <v>3</v>
      </c>
      <c r="O4" s="118" t="s">
        <v>920</v>
      </c>
    </row>
    <row r="5" spans="1:15" ht="19.5" customHeight="1">
      <c r="A5" s="103">
        <f>IF(ISNUMBER(E5),E5,0)</f>
        <v>3</v>
      </c>
      <c r="B5" s="9" t="s">
        <v>827</v>
      </c>
      <c r="C5" s="115">
        <v>544957</v>
      </c>
      <c r="D5" s="116">
        <v>259215</v>
      </c>
      <c r="E5" s="104">
        <f>E4+1</f>
        <v>3</v>
      </c>
      <c r="F5" s="117"/>
      <c r="G5" s="105" t="s">
        <v>915</v>
      </c>
      <c r="I5" s="11" t="s">
        <v>921</v>
      </c>
      <c r="J5" s="11">
        <f>VLOOKUP("Butt Green",$B$3:$E$31,4,0)</f>
        <v>5</v>
      </c>
      <c r="K5" s="11">
        <f>VLOOKUP("Quayside",$B$3:$E$31,4,0)</f>
        <v>1</v>
      </c>
      <c r="L5" s="11">
        <f>VLOOKUP("Fort St George",$B$3:$E$31,4,0)</f>
        <v>4</v>
      </c>
      <c r="O5" s="119" t="s">
        <v>922</v>
      </c>
    </row>
    <row r="6" spans="1:15" ht="19.5" customHeight="1">
      <c r="A6" s="103">
        <f>IF(ISNUMBER(E6),E6,0)</f>
        <v>4</v>
      </c>
      <c r="B6" s="9" t="s">
        <v>840</v>
      </c>
      <c r="C6" s="115">
        <v>545465</v>
      </c>
      <c r="D6" s="116">
        <v>259268</v>
      </c>
      <c r="E6" s="104">
        <f>E5+1</f>
        <v>4</v>
      </c>
      <c r="F6" s="117" t="s">
        <v>923</v>
      </c>
      <c r="G6" s="105" t="s">
        <v>918</v>
      </c>
      <c r="J6" s="11">
        <f>VLOOKUP("Pike's Walk",$B$3:$E$31,4,0)</f>
        <v>6</v>
      </c>
      <c r="K6" s="11">
        <f>VLOOKUP("The Maypole",$B$3:$E$31,4,0)</f>
        <v>2</v>
      </c>
      <c r="L6" s="11">
        <f>VLOOKUP("Butt Green",$B$3:$E$31,4,0)</f>
        <v>5</v>
      </c>
      <c r="O6" s="119" t="s">
        <v>924</v>
      </c>
    </row>
    <row r="7" spans="1:15" ht="19.5" customHeight="1">
      <c r="A7" s="103">
        <f>IF(ISNUMBER(E7),E7,0)</f>
        <v>5</v>
      </c>
      <c r="B7" s="9" t="s">
        <v>828</v>
      </c>
      <c r="C7" s="115">
        <v>545455</v>
      </c>
      <c r="D7" s="116">
        <v>258838</v>
      </c>
      <c r="E7" s="104">
        <f>E6+1</f>
        <v>5</v>
      </c>
      <c r="F7" s="117"/>
      <c r="G7" s="105" t="s">
        <v>915</v>
      </c>
      <c r="H7" s="9" t="s">
        <v>925</v>
      </c>
      <c r="I7" s="11" t="s">
        <v>926</v>
      </c>
      <c r="J7" s="11">
        <f>VLOOKUP("Christ's Pieces",$B$3:$E$31,4,0)</f>
        <v>7</v>
      </c>
      <c r="K7" s="11">
        <f>VLOOKUP("Jesus Green",$B$3:$E$31,4,0)</f>
        <v>3</v>
      </c>
      <c r="L7" s="11">
        <f>VLOOKUP("Pike's Walk",$B$3:$E$31,4,0)</f>
        <v>6</v>
      </c>
      <c r="O7" s="120" t="s">
        <v>927</v>
      </c>
    </row>
    <row r="8" spans="1:12" ht="24.75">
      <c r="A8" s="103">
        <f>IF(ISNUMBER(E8),E8,0)</f>
        <v>6</v>
      </c>
      <c r="B8" s="9" t="s">
        <v>841</v>
      </c>
      <c r="C8" s="115">
        <v>545347</v>
      </c>
      <c r="D8" s="116">
        <v>258677</v>
      </c>
      <c r="E8" s="104">
        <f>E7+1</f>
        <v>6</v>
      </c>
      <c r="F8" s="117" t="s">
        <v>928</v>
      </c>
      <c r="G8" s="105" t="s">
        <v>915</v>
      </c>
      <c r="H8" s="11" t="s">
        <v>929</v>
      </c>
      <c r="I8" s="9" t="s">
        <v>930</v>
      </c>
      <c r="J8" s="11">
        <f>VLOOKUP("Fitzroy St",$B$3:$E$31,4,0)</f>
        <v>8</v>
      </c>
      <c r="K8" s="11">
        <f>VLOOKUP("Fort St George",$B$3:$E$31,4,0)</f>
        <v>4</v>
      </c>
      <c r="L8" s="11">
        <f>VLOOKUP("Christ's Pieces",$B$3:$E$31,4,0)</f>
        <v>7</v>
      </c>
    </row>
    <row r="9" spans="1:18" ht="24.75">
      <c r="A9" s="103">
        <f>IF(ISNUMBER(E9),E9,0)</f>
        <v>7</v>
      </c>
      <c r="B9" s="9" t="s">
        <v>829</v>
      </c>
      <c r="C9" s="115">
        <v>545311</v>
      </c>
      <c r="D9" s="116">
        <v>258552</v>
      </c>
      <c r="E9" s="104">
        <f>E8+1</f>
        <v>7</v>
      </c>
      <c r="F9" s="117"/>
      <c r="G9" s="105" t="s">
        <v>915</v>
      </c>
      <c r="H9" s="11" t="s">
        <v>931</v>
      </c>
      <c r="I9" s="11" t="s">
        <v>932</v>
      </c>
      <c r="J9" s="11">
        <f>VLOOKUP("Eden Street",$B$3:$E$31,4,0)</f>
        <v>9</v>
      </c>
      <c r="K9" s="11">
        <f>K8+1</f>
        <v>5</v>
      </c>
      <c r="L9" s="11">
        <f>L8+1</f>
        <v>8</v>
      </c>
      <c r="N9" s="58">
        <v>1</v>
      </c>
      <c r="O9" s="58" t="s">
        <v>820</v>
      </c>
      <c r="P9" s="57">
        <f>MOD($N9+P$1,MAX($N$9:$N$37))+1</f>
        <v>3</v>
      </c>
      <c r="Q9" s="57">
        <f>MOD($N9+Q$1,MAX($N$9:$N$37))+1</f>
        <v>19</v>
      </c>
      <c r="R9" s="57">
        <f>MOD($N9+R$1,MAX($N$9:$N$37))+1</f>
        <v>2</v>
      </c>
    </row>
    <row r="10" spans="1:18" ht="19.5" customHeight="1">
      <c r="A10" s="103">
        <f>IF(ISNUMBER(E10),E10,0)</f>
        <v>8</v>
      </c>
      <c r="B10" s="9" t="s">
        <v>842</v>
      </c>
      <c r="C10" s="115">
        <v>545615</v>
      </c>
      <c r="D10" s="116">
        <v>258633</v>
      </c>
      <c r="E10" s="104">
        <f>E9+1</f>
        <v>8</v>
      </c>
      <c r="F10" s="117" t="s">
        <v>933</v>
      </c>
      <c r="G10" s="105" t="s">
        <v>915</v>
      </c>
      <c r="H10" s="9" t="s">
        <v>934</v>
      </c>
      <c r="I10" s="11" t="s">
        <v>935</v>
      </c>
      <c r="J10" s="11">
        <f>J9+1</f>
        <v>10</v>
      </c>
      <c r="K10" s="11">
        <f>K9+1</f>
        <v>6</v>
      </c>
      <c r="L10" s="11">
        <f>VLOOKUP("Eden Street",$B$3:$E$31,4,0)</f>
        <v>9</v>
      </c>
      <c r="N10" s="58">
        <v>2</v>
      </c>
      <c r="O10" s="58" t="s">
        <v>832</v>
      </c>
      <c r="P10" s="57">
        <f>MOD($N10+P$1,MAX($N$9:$N$37))+1</f>
        <v>4</v>
      </c>
      <c r="Q10" s="57">
        <f>MOD($N10+Q$1,MAX($N$9:$N$37))+1</f>
        <v>20</v>
      </c>
      <c r="R10" s="57">
        <f>MOD($N10+R$1,MAX($N$9:$N$37))+1</f>
        <v>3</v>
      </c>
    </row>
    <row r="11" spans="1:18" ht="19.5" customHeight="1">
      <c r="A11" s="103">
        <f>IF(ISNUMBER(E11),E11,0)</f>
        <v>0</v>
      </c>
      <c r="B11" s="9" t="s">
        <v>936</v>
      </c>
      <c r="C11" s="115">
        <v>545740</v>
      </c>
      <c r="D11" s="116">
        <v>258641</v>
      </c>
      <c r="E11" s="104" t="str">
        <f>TEXT(E10,"0")&amp;"b"</f>
        <v>8b</v>
      </c>
      <c r="F11" s="117"/>
      <c r="G11" s="105" t="s">
        <v>915</v>
      </c>
      <c r="I11" s="11" t="s">
        <v>937</v>
      </c>
      <c r="N11" s="58">
        <v>3</v>
      </c>
      <c r="O11" s="58" t="s">
        <v>827</v>
      </c>
      <c r="P11" s="57">
        <f>MOD($N11+P$1,MAX($N$9:$N$37))+1</f>
        <v>5</v>
      </c>
      <c r="Q11" s="57">
        <f>MOD($N11+Q$1,MAX($N$9:$N$37))+1</f>
        <v>1</v>
      </c>
      <c r="R11" s="57">
        <f>MOD($N11+R$1,MAX($N$9:$N$37))+1</f>
        <v>4</v>
      </c>
    </row>
    <row r="12" spans="1:18" ht="19.5" customHeight="1">
      <c r="A12" s="103">
        <f>IF(ISNUMBER(E12),E12,0)</f>
        <v>9</v>
      </c>
      <c r="B12" s="9" t="s">
        <v>830</v>
      </c>
      <c r="C12" s="115">
        <v>545619</v>
      </c>
      <c r="D12" s="116">
        <v>258449</v>
      </c>
      <c r="E12" s="104">
        <f>E10+1</f>
        <v>9</v>
      </c>
      <c r="F12" s="117" t="s">
        <v>938</v>
      </c>
      <c r="G12" s="105" t="s">
        <v>918</v>
      </c>
      <c r="H12" s="9" t="s">
        <v>939</v>
      </c>
      <c r="J12" s="11">
        <f>VLOOKUP("Alexandra Arms",$B$3:$E$31,4,0)</f>
        <v>11</v>
      </c>
      <c r="K12" s="11">
        <f>VLOOKUP("Christ's Pieces",$B$3:$E$31,4,0)</f>
        <v>7</v>
      </c>
      <c r="L12" s="11">
        <f>VLOOKUP("The Tram Depot",$B$3:$E$31,4,0)</f>
        <v>10</v>
      </c>
      <c r="N12" s="58">
        <v>4</v>
      </c>
      <c r="O12" s="58" t="s">
        <v>840</v>
      </c>
      <c r="P12" s="57">
        <f>MOD($N12+P$1,MAX($N$9:$N$37))+1</f>
        <v>6</v>
      </c>
      <c r="Q12" s="57">
        <f>MOD($N12+Q$1,MAX($N$9:$N$37))+1</f>
        <v>2</v>
      </c>
      <c r="R12" s="57">
        <f>MOD($N12+R$1,MAX($N$9:$N$37))+1</f>
        <v>5</v>
      </c>
    </row>
    <row r="13" spans="1:18" ht="19.5" customHeight="1">
      <c r="A13" s="103">
        <f>IF(ISNUMBER(E13),E13,0)</f>
        <v>10</v>
      </c>
      <c r="B13" s="9" t="s">
        <v>843</v>
      </c>
      <c r="C13" s="115">
        <v>545851</v>
      </c>
      <c r="D13" s="116">
        <v>258405</v>
      </c>
      <c r="E13" s="104">
        <f>E12+1</f>
        <v>10</v>
      </c>
      <c r="F13" s="117" t="s">
        <v>940</v>
      </c>
      <c r="G13" s="105" t="s">
        <v>918</v>
      </c>
      <c r="I13" s="11" t="s">
        <v>941</v>
      </c>
      <c r="J13" s="11">
        <f>J12+1</f>
        <v>12</v>
      </c>
      <c r="K13" s="11">
        <f>K12+1</f>
        <v>8</v>
      </c>
      <c r="L13" s="11">
        <f>L12+1</f>
        <v>11</v>
      </c>
      <c r="N13" s="58">
        <v>5</v>
      </c>
      <c r="O13" s="58" t="s">
        <v>828</v>
      </c>
      <c r="P13" s="57">
        <f>MOD($N13+P$1,MAX($N$9:$N$37))+1</f>
        <v>7</v>
      </c>
      <c r="Q13" s="57">
        <f>MOD($N13+Q$1,MAX($N$9:$N$37))+1</f>
        <v>3</v>
      </c>
      <c r="R13" s="57">
        <f>MOD($N13+R$1,MAX($N$9:$N$37))+1</f>
        <v>6</v>
      </c>
    </row>
    <row r="14" spans="1:18" ht="19.5" customHeight="1">
      <c r="A14" s="103">
        <f>IF(ISNUMBER(E14),E14,0)</f>
        <v>0</v>
      </c>
      <c r="B14" s="9" t="s">
        <v>942</v>
      </c>
      <c r="C14" s="115">
        <v>545875</v>
      </c>
      <c r="D14" s="116">
        <v>258246</v>
      </c>
      <c r="E14" s="104" t="str">
        <f>TEXT(E13,"0")&amp;"b"</f>
        <v>10b</v>
      </c>
      <c r="F14" s="117"/>
      <c r="G14" s="105" t="s">
        <v>915</v>
      </c>
      <c r="H14" s="9" t="s">
        <v>943</v>
      </c>
      <c r="I14" s="11" t="s">
        <v>937</v>
      </c>
      <c r="N14" s="58">
        <v>6</v>
      </c>
      <c r="O14" s="58" t="s">
        <v>841</v>
      </c>
      <c r="P14" s="57">
        <f>MOD($N14+P$1,MAX($N$9:$N$37))+1</f>
        <v>8</v>
      </c>
      <c r="Q14" s="57">
        <f>MOD($N14+Q$1,MAX($N$9:$N$37))+1</f>
        <v>4</v>
      </c>
      <c r="R14" s="57">
        <f>MOD($N14+R$1,MAX($N$9:$N$37))+1</f>
        <v>7</v>
      </c>
    </row>
    <row r="15" spans="1:18" ht="19.5" customHeight="1">
      <c r="A15" s="103">
        <f>IF(ISNUMBER(E15),E15,0)</f>
        <v>11</v>
      </c>
      <c r="B15" s="9" t="s">
        <v>847</v>
      </c>
      <c r="C15" s="115">
        <v>546288</v>
      </c>
      <c r="D15" s="116">
        <v>258334</v>
      </c>
      <c r="E15" s="104">
        <f>E13+1</f>
        <v>11</v>
      </c>
      <c r="F15" s="117" t="s">
        <v>944</v>
      </c>
      <c r="G15" s="105" t="s">
        <v>918</v>
      </c>
      <c r="I15" s="11" t="s">
        <v>945</v>
      </c>
      <c r="J15" s="11">
        <f>J13+1</f>
        <v>13</v>
      </c>
      <c r="K15" s="11">
        <f>K13+1</f>
        <v>9</v>
      </c>
      <c r="L15" s="11">
        <f>L13+1</f>
        <v>12</v>
      </c>
      <c r="N15" s="58">
        <v>7</v>
      </c>
      <c r="O15" s="58" t="s">
        <v>829</v>
      </c>
      <c r="P15" s="57">
        <f>MOD($N15+P$1,MAX($N$9:$N$37))+1</f>
        <v>9</v>
      </c>
      <c r="Q15" s="57">
        <f>MOD($N15+Q$1,MAX($N$9:$N$37))+1</f>
        <v>5</v>
      </c>
      <c r="R15" s="57">
        <f>MOD($N15+R$1,MAX($N$9:$N$37))+1</f>
        <v>8</v>
      </c>
    </row>
    <row r="16" spans="1:18" ht="24.75">
      <c r="A16" s="103">
        <f>IF(ISNUMBER(E16),E16,0)</f>
        <v>12</v>
      </c>
      <c r="B16" s="9" t="s">
        <v>838</v>
      </c>
      <c r="C16" s="115">
        <v>546263</v>
      </c>
      <c r="D16" s="116">
        <v>258183</v>
      </c>
      <c r="E16" s="104">
        <f>E15+1</f>
        <v>12</v>
      </c>
      <c r="F16" s="117" t="s">
        <v>99</v>
      </c>
      <c r="G16" s="105" t="s">
        <v>918</v>
      </c>
      <c r="H16" s="11" t="s">
        <v>946</v>
      </c>
      <c r="I16" s="11" t="s">
        <v>947</v>
      </c>
      <c r="J16" s="11">
        <f>J15+1</f>
        <v>14</v>
      </c>
      <c r="K16" s="11">
        <f>K15+1</f>
        <v>10</v>
      </c>
      <c r="L16" s="11">
        <f>L15+1</f>
        <v>13</v>
      </c>
      <c r="N16" s="58">
        <v>8</v>
      </c>
      <c r="O16" s="58" t="s">
        <v>842</v>
      </c>
      <c r="P16" s="57">
        <f>MOD($N16+P$1,MAX($N$9:$N$37))+1</f>
        <v>10</v>
      </c>
      <c r="Q16" s="57">
        <f>MOD($N16+Q$1,MAX($N$9:$N$37))+1</f>
        <v>6</v>
      </c>
      <c r="R16" s="57">
        <f>MOD($N16+R$1,MAX($N$9:$N$37))+1</f>
        <v>9</v>
      </c>
    </row>
    <row r="17" spans="1:18" ht="19.5" customHeight="1">
      <c r="A17" s="103">
        <f>IF(ISNUMBER(E17),E17,0)</f>
        <v>0</v>
      </c>
      <c r="B17" s="121" t="s">
        <v>948</v>
      </c>
      <c r="C17" s="115">
        <v>546273</v>
      </c>
      <c r="D17" s="116">
        <v>257868</v>
      </c>
      <c r="E17" s="104" t="str">
        <f>TEXT(E16,"0")&amp;"b"</f>
        <v>12b</v>
      </c>
      <c r="F17" s="117"/>
      <c r="G17" s="105" t="s">
        <v>915</v>
      </c>
      <c r="H17" s="9" t="s">
        <v>949</v>
      </c>
      <c r="I17" s="11" t="s">
        <v>950</v>
      </c>
      <c r="J17" s="11">
        <f>J16+1</f>
        <v>15</v>
      </c>
      <c r="K17" s="11">
        <f>K16+1</f>
        <v>11</v>
      </c>
      <c r="L17" s="11">
        <f>L16+1</f>
        <v>14</v>
      </c>
      <c r="N17" s="58">
        <v>9</v>
      </c>
      <c r="O17" s="58" t="s">
        <v>830</v>
      </c>
      <c r="P17" s="57">
        <f>MOD($N17+P$1,MAX($N$9:$N$37))+1</f>
        <v>11</v>
      </c>
      <c r="Q17" s="57">
        <f>MOD($N17+Q$1,MAX($N$9:$N$37))+1</f>
        <v>7</v>
      </c>
      <c r="R17" s="57">
        <f>MOD($N17+R$1,MAX($N$9:$N$37))+1</f>
        <v>10</v>
      </c>
    </row>
    <row r="18" spans="1:18" ht="19.5" customHeight="1">
      <c r="A18" s="103">
        <f>IF(ISNUMBER(E18),E18,0)</f>
        <v>0</v>
      </c>
      <c r="B18" s="121" t="s">
        <v>951</v>
      </c>
      <c r="C18" s="115">
        <v>546169</v>
      </c>
      <c r="D18" s="116">
        <v>257941</v>
      </c>
      <c r="E18" s="104" t="str">
        <f>TEXT(E16,"0")&amp;"c"</f>
        <v>12c</v>
      </c>
      <c r="F18" s="117"/>
      <c r="G18" s="105" t="s">
        <v>915</v>
      </c>
      <c r="H18" s="9" t="s">
        <v>949</v>
      </c>
      <c r="I18" s="11" t="s">
        <v>952</v>
      </c>
      <c r="J18" s="11">
        <f>J17+1</f>
        <v>16</v>
      </c>
      <c r="K18" s="11">
        <f>K17+1</f>
        <v>12</v>
      </c>
      <c r="L18" s="11">
        <f>L17+1</f>
        <v>15</v>
      </c>
      <c r="N18" s="58">
        <v>10</v>
      </c>
      <c r="O18" s="58" t="s">
        <v>843</v>
      </c>
      <c r="P18" s="57">
        <f>MOD($N18+P$1,MAX($N$9:$N$37))+1</f>
        <v>12</v>
      </c>
      <c r="Q18" s="57">
        <f>MOD($N18+Q$1,MAX($N$9:$N$37))+1</f>
        <v>8</v>
      </c>
      <c r="R18" s="57">
        <f>MOD($N18+R$1,MAX($N$9:$N$37))+1</f>
        <v>11</v>
      </c>
    </row>
    <row r="19" spans="1:18" ht="19.5" customHeight="1">
      <c r="A19" s="103">
        <f>IF(ISNUMBER(E19),E19,0)</f>
        <v>13</v>
      </c>
      <c r="B19" s="9" t="s">
        <v>825</v>
      </c>
      <c r="C19" s="115">
        <v>545932</v>
      </c>
      <c r="D19" s="116">
        <v>257874</v>
      </c>
      <c r="E19" s="104">
        <f>E16+1</f>
        <v>13</v>
      </c>
      <c r="F19" s="117" t="s">
        <v>953</v>
      </c>
      <c r="G19" s="105" t="s">
        <v>918</v>
      </c>
      <c r="H19" s="9" t="s">
        <v>954</v>
      </c>
      <c r="J19" s="11">
        <f>J18+1</f>
        <v>17</v>
      </c>
      <c r="K19" s="11">
        <f>K18+1</f>
        <v>13</v>
      </c>
      <c r="L19" s="11">
        <f>L18+1</f>
        <v>16</v>
      </c>
      <c r="N19" s="58">
        <v>11</v>
      </c>
      <c r="O19" s="58" t="s">
        <v>847</v>
      </c>
      <c r="P19" s="57">
        <f>MOD($N19+P$1,MAX($N$9:$N$37))+1</f>
        <v>13</v>
      </c>
      <c r="Q19" s="57">
        <f>MOD($N19+Q$1,MAX($N$9:$N$37))+1</f>
        <v>9</v>
      </c>
      <c r="R19" s="57">
        <f>MOD($N19+R$1,MAX($N$9:$N$37))+1</f>
        <v>12</v>
      </c>
    </row>
    <row r="20" spans="1:18" ht="19.5" customHeight="1">
      <c r="A20" s="103">
        <f>IF(ISNUMBER(E20),E20,0)</f>
        <v>14</v>
      </c>
      <c r="B20" s="9" t="s">
        <v>836</v>
      </c>
      <c r="C20" s="115">
        <v>546016</v>
      </c>
      <c r="D20" s="116">
        <v>257811</v>
      </c>
      <c r="E20" s="104">
        <f>E19+1</f>
        <v>14</v>
      </c>
      <c r="F20" s="117" t="s">
        <v>955</v>
      </c>
      <c r="G20" s="105" t="s">
        <v>918</v>
      </c>
      <c r="H20" s="9" t="s">
        <v>956</v>
      </c>
      <c r="J20" s="11">
        <f>J19+1</f>
        <v>18</v>
      </c>
      <c r="K20" s="11">
        <f>K19+1</f>
        <v>14</v>
      </c>
      <c r="L20" s="11">
        <f>L19+1</f>
        <v>17</v>
      </c>
      <c r="N20" s="58">
        <v>12</v>
      </c>
      <c r="O20" s="58" t="s">
        <v>838</v>
      </c>
      <c r="P20" s="57">
        <f>MOD($N20+P$1,MAX($N$9:$N$37))+1</f>
        <v>14</v>
      </c>
      <c r="Q20" s="57">
        <f>MOD($N20+Q$1,MAX($N$9:$N$37))+1</f>
        <v>10</v>
      </c>
      <c r="R20" s="57">
        <f>MOD($N20+R$1,MAX($N$9:$N$37))+1</f>
        <v>13</v>
      </c>
    </row>
    <row r="21" spans="1:18" ht="19.5" customHeight="1">
      <c r="A21" s="103">
        <f>IF(ISNUMBER(E21),E21,0)</f>
        <v>0</v>
      </c>
      <c r="B21" s="9" t="s">
        <v>957</v>
      </c>
      <c r="C21" s="115">
        <v>545621</v>
      </c>
      <c r="D21" s="116">
        <v>257910</v>
      </c>
      <c r="E21" s="104" t="str">
        <f>TEXT(E20,"0")&amp;"b"</f>
        <v>14b</v>
      </c>
      <c r="F21" s="117"/>
      <c r="G21" s="105" t="s">
        <v>915</v>
      </c>
      <c r="H21" s="9" t="s">
        <v>958</v>
      </c>
      <c r="I21" s="11" t="s">
        <v>959</v>
      </c>
      <c r="N21" s="58">
        <v>13</v>
      </c>
      <c r="O21" s="58" t="s">
        <v>825</v>
      </c>
      <c r="P21" s="57">
        <f>MOD($N21+P$1,MAX($N$9:$N$37))+1</f>
        <v>15</v>
      </c>
      <c r="Q21" s="57">
        <f>MOD($N21+Q$1,MAX($N$9:$N$37))+1</f>
        <v>11</v>
      </c>
      <c r="R21" s="57">
        <f>MOD($N21+R$1,MAX($N$9:$N$37))+1</f>
        <v>14</v>
      </c>
    </row>
    <row r="22" spans="1:18" ht="19.5" customHeight="1">
      <c r="A22" s="103">
        <f>IF(ISNUMBER(E22),E22,0)</f>
        <v>15</v>
      </c>
      <c r="B22" s="9" t="s">
        <v>824</v>
      </c>
      <c r="C22" s="115">
        <v>545527</v>
      </c>
      <c r="D22" s="116">
        <v>257887</v>
      </c>
      <c r="E22" s="104">
        <f>E20+1</f>
        <v>15</v>
      </c>
      <c r="F22" s="117" t="s">
        <v>960</v>
      </c>
      <c r="G22" s="105" t="s">
        <v>915</v>
      </c>
      <c r="H22" s="9" t="s">
        <v>958</v>
      </c>
      <c r="I22" s="11" t="s">
        <v>961</v>
      </c>
      <c r="J22" s="11">
        <f>J20+1</f>
        <v>19</v>
      </c>
      <c r="K22" s="11">
        <f>K20+1</f>
        <v>15</v>
      </c>
      <c r="L22" s="11">
        <f>L20+1</f>
        <v>18</v>
      </c>
      <c r="N22" s="58">
        <v>14</v>
      </c>
      <c r="O22" s="58" t="s">
        <v>836</v>
      </c>
      <c r="P22" s="57">
        <f>MOD($N22+P$1,MAX($N$9:$N$37))+1</f>
        <v>16</v>
      </c>
      <c r="Q22" s="57">
        <f>MOD($N22+Q$1,MAX($N$9:$N$37))+1</f>
        <v>12</v>
      </c>
      <c r="R22" s="57">
        <f>MOD($N22+R$1,MAX($N$9:$N$37))+1</f>
        <v>15</v>
      </c>
    </row>
    <row r="23" spans="1:18" ht="19.5" customHeight="1">
      <c r="A23" s="103">
        <f>IF(ISNUMBER(E23),E23,0)</f>
        <v>16</v>
      </c>
      <c r="B23" s="9" t="s">
        <v>835</v>
      </c>
      <c r="C23" s="115">
        <v>545342</v>
      </c>
      <c r="D23" s="116">
        <v>258096</v>
      </c>
      <c r="E23" s="104">
        <f>E22+1</f>
        <v>16</v>
      </c>
      <c r="F23" s="117" t="s">
        <v>962</v>
      </c>
      <c r="G23" s="105" t="s">
        <v>915</v>
      </c>
      <c r="H23" s="9" t="s">
        <v>963</v>
      </c>
      <c r="J23" s="11">
        <f>J22+1</f>
        <v>20</v>
      </c>
      <c r="K23" s="11">
        <f>K22+1</f>
        <v>16</v>
      </c>
      <c r="L23" s="11">
        <f>L22+1</f>
        <v>19</v>
      </c>
      <c r="N23" s="58">
        <v>15</v>
      </c>
      <c r="O23" s="58" t="s">
        <v>824</v>
      </c>
      <c r="P23" s="57">
        <f>MOD($N23+P$1,MAX($N$9:$N$37))+1</f>
        <v>17</v>
      </c>
      <c r="Q23" s="57">
        <f>MOD($N23+Q$1,MAX($N$9:$N$37))+1</f>
        <v>13</v>
      </c>
      <c r="R23" s="57">
        <f>MOD($N23+R$1,MAX($N$9:$N$37))+1</f>
        <v>16</v>
      </c>
    </row>
    <row r="24" spans="1:18" ht="19.5" customHeight="1">
      <c r="A24" s="103">
        <f>IF(ISNUMBER(E24),E24,0)</f>
        <v>17</v>
      </c>
      <c r="B24" s="9" t="s">
        <v>822</v>
      </c>
      <c r="C24" s="115">
        <v>544683</v>
      </c>
      <c r="D24" s="116">
        <v>257994</v>
      </c>
      <c r="E24" s="104">
        <f>E23+1</f>
        <v>17</v>
      </c>
      <c r="F24" s="117" t="s">
        <v>964</v>
      </c>
      <c r="G24" s="105" t="s">
        <v>918</v>
      </c>
      <c r="H24" s="9" t="s">
        <v>965</v>
      </c>
      <c r="I24" s="11" t="s">
        <v>966</v>
      </c>
      <c r="J24" s="11">
        <f>J23+1</f>
        <v>21</v>
      </c>
      <c r="K24" s="11">
        <f>K23+1</f>
        <v>17</v>
      </c>
      <c r="L24" s="11">
        <f>L23+1</f>
        <v>20</v>
      </c>
      <c r="N24" s="58">
        <v>16</v>
      </c>
      <c r="O24" s="58" t="s">
        <v>835</v>
      </c>
      <c r="P24" s="57">
        <f>MOD($N24+P$1,MAX($N$9:$N$37))+1</f>
        <v>18</v>
      </c>
      <c r="Q24" s="57">
        <f>MOD($N24+Q$1,MAX($N$9:$N$37))+1</f>
        <v>14</v>
      </c>
      <c r="R24" s="57">
        <f>MOD($N24+R$1,MAX($N$9:$N$37))+1</f>
        <v>17</v>
      </c>
    </row>
    <row r="25" spans="1:18" ht="24.75" customHeight="1">
      <c r="A25" s="103">
        <f>IF(ISNUMBER(E25),E25,0)</f>
        <v>0</v>
      </c>
      <c r="B25" s="9" t="s">
        <v>967</v>
      </c>
      <c r="C25" s="115">
        <v>544670</v>
      </c>
      <c r="D25" s="116">
        <v>258065</v>
      </c>
      <c r="E25" s="104" t="str">
        <f>TEXT(E24,"0")&amp;"b"</f>
        <v>17b</v>
      </c>
      <c r="F25" s="117"/>
      <c r="G25" s="105" t="s">
        <v>918</v>
      </c>
      <c r="H25" s="9" t="s">
        <v>968</v>
      </c>
      <c r="I25" s="11" t="s">
        <v>969</v>
      </c>
      <c r="N25" s="58">
        <v>17</v>
      </c>
      <c r="O25" s="58" t="s">
        <v>822</v>
      </c>
      <c r="P25" s="57">
        <f>MOD($N25+P$1,MAX($N$9:$N$37))+1</f>
        <v>19</v>
      </c>
      <c r="Q25" s="57">
        <f>MOD($N25+Q$1,MAX($N$9:$N$37))+1</f>
        <v>15</v>
      </c>
      <c r="R25" s="57">
        <f>MOD($N25+R$1,MAX($N$9:$N$37))+1</f>
        <v>18</v>
      </c>
    </row>
    <row r="26" spans="1:18" ht="19.5" customHeight="1">
      <c r="A26" s="103">
        <f>IF(ISNUMBER(E26),E26,0)</f>
        <v>18</v>
      </c>
      <c r="B26" s="9" t="s">
        <v>834</v>
      </c>
      <c r="C26" s="115">
        <v>544915</v>
      </c>
      <c r="D26" s="116">
        <v>258426</v>
      </c>
      <c r="E26" s="104">
        <f>E24+1</f>
        <v>18</v>
      </c>
      <c r="F26" s="117" t="s">
        <v>970</v>
      </c>
      <c r="G26" s="105" t="s">
        <v>915</v>
      </c>
      <c r="H26" s="9" t="s">
        <v>971</v>
      </c>
      <c r="I26" s="11" t="s">
        <v>972</v>
      </c>
      <c r="J26" s="11">
        <f>J24+1</f>
        <v>22</v>
      </c>
      <c r="K26" s="11">
        <f>K24+1</f>
        <v>18</v>
      </c>
      <c r="L26" s="11">
        <f>L24+1</f>
        <v>21</v>
      </c>
      <c r="N26" s="58">
        <v>18</v>
      </c>
      <c r="O26" s="58" t="s">
        <v>834</v>
      </c>
      <c r="P26" s="57">
        <f>MOD($N26+P$1,MAX($N$9:$N$37))+1</f>
        <v>20</v>
      </c>
      <c r="Q26" s="57">
        <f>MOD($N26+Q$1,MAX($N$9:$N$37))+1</f>
        <v>16</v>
      </c>
      <c r="R26" s="57">
        <f>MOD($N26+R$1,MAX($N$9:$N$37))+1</f>
        <v>19</v>
      </c>
    </row>
    <row r="27" spans="1:18" ht="19.5" customHeight="1">
      <c r="A27" s="103">
        <f>IF(ISNUMBER(E27),E27,0)</f>
        <v>0</v>
      </c>
      <c r="B27" s="9" t="s">
        <v>973</v>
      </c>
      <c r="C27" s="115">
        <v>544949</v>
      </c>
      <c r="D27" s="116">
        <v>258388</v>
      </c>
      <c r="E27" s="104" t="str">
        <f>TEXT(E26,"0")&amp;"b"</f>
        <v>18b</v>
      </c>
      <c r="F27" s="117"/>
      <c r="G27" s="105" t="s">
        <v>918</v>
      </c>
      <c r="H27" s="9" t="s">
        <v>974</v>
      </c>
      <c r="I27" s="11" t="s">
        <v>975</v>
      </c>
      <c r="N27" s="58">
        <v>19</v>
      </c>
      <c r="O27" s="58" t="s">
        <v>821</v>
      </c>
      <c r="P27" s="57">
        <f>MOD($N27+P$1,MAX($N$9:$N$37))+1</f>
        <v>1</v>
      </c>
      <c r="Q27" s="57">
        <f>MOD($N27+Q$1,MAX($N$9:$N$37))+1</f>
        <v>17</v>
      </c>
      <c r="R27" s="57">
        <f>MOD($N27+R$1,MAX($N$9:$N$37))+1</f>
        <v>20</v>
      </c>
    </row>
    <row r="28" spans="1:18" ht="19.5" customHeight="1">
      <c r="A28" s="103">
        <f>IF(ISNUMBER(E28),E28,0)</f>
        <v>0</v>
      </c>
      <c r="B28" s="9" t="s">
        <v>976</v>
      </c>
      <c r="C28" s="115">
        <v>544883</v>
      </c>
      <c r="D28" s="116">
        <v>258390</v>
      </c>
      <c r="E28" s="104" t="str">
        <f>TEXT(E26,"0")&amp;"c"</f>
        <v>18c</v>
      </c>
      <c r="F28" s="117"/>
      <c r="G28" s="105" t="s">
        <v>915</v>
      </c>
      <c r="H28" s="9" t="s">
        <v>971</v>
      </c>
      <c r="I28" s="11" t="s">
        <v>937</v>
      </c>
      <c r="N28" s="58">
        <v>20</v>
      </c>
      <c r="O28" s="58" t="s">
        <v>977</v>
      </c>
      <c r="P28" s="57">
        <f>MOD($N28+P$1,MAX($N$9:$N$37))+1</f>
        <v>2</v>
      </c>
      <c r="Q28" s="57">
        <f>MOD($N28+Q$1,MAX($N$9:$N$37))+1</f>
        <v>18</v>
      </c>
      <c r="R28" s="57">
        <f>MOD($N28+R$1,MAX($N$9:$N$37))+1</f>
        <v>1</v>
      </c>
    </row>
    <row r="29" spans="1:27" ht="19.5" customHeight="1">
      <c r="A29" s="103">
        <f>IF(ISNUMBER(E29),E29,0)</f>
        <v>19</v>
      </c>
      <c r="B29" s="9" t="s">
        <v>821</v>
      </c>
      <c r="C29" s="115">
        <v>544832</v>
      </c>
      <c r="D29" s="116">
        <v>258452</v>
      </c>
      <c r="E29" s="104">
        <f>E26+1</f>
        <v>19</v>
      </c>
      <c r="F29" s="117" t="s">
        <v>978</v>
      </c>
      <c r="G29" s="105" t="s">
        <v>915</v>
      </c>
      <c r="H29" s="9" t="s">
        <v>979</v>
      </c>
      <c r="I29" s="11" t="s">
        <v>980</v>
      </c>
      <c r="J29" s="11">
        <v>1</v>
      </c>
      <c r="K29" s="11">
        <f>K26+1</f>
        <v>19</v>
      </c>
      <c r="L29" s="11">
        <f>L26+1</f>
        <v>22</v>
      </c>
      <c r="N29" s="58"/>
      <c r="V29" s="105"/>
      <c r="X29" s="11"/>
      <c r="Y29" s="11"/>
      <c r="Z29" s="11"/>
      <c r="AA29" s="11"/>
    </row>
    <row r="30" spans="1:14" ht="19.5" customHeight="1">
      <c r="A30" s="103">
        <f>IF(ISNUMBER(E30),E30,0)</f>
        <v>20</v>
      </c>
      <c r="B30" s="9" t="s">
        <v>833</v>
      </c>
      <c r="C30" s="115">
        <v>545029</v>
      </c>
      <c r="D30" s="116">
        <v>258504</v>
      </c>
      <c r="E30" s="104">
        <f>E29+1</f>
        <v>20</v>
      </c>
      <c r="F30" s="117" t="s">
        <v>981</v>
      </c>
      <c r="G30" s="105" t="s">
        <v>915</v>
      </c>
      <c r="I30" s="11" t="s">
        <v>982</v>
      </c>
      <c r="J30" s="11">
        <f>VLOOKUP("The Maypole",$B$3:$E$31,4,0)</f>
        <v>2</v>
      </c>
      <c r="K30" s="11">
        <f>VLOOKUP("Guildhall, Mkt. Hill",$B$3:$E$31,4,0)</f>
        <v>18</v>
      </c>
      <c r="L30" s="11">
        <f>VLOOKUP("Quayside",$B$3:$E$31,4,0)</f>
        <v>1</v>
      </c>
      <c r="N30" s="58"/>
    </row>
    <row r="31" spans="1:9" ht="19.5" customHeight="1">
      <c r="A31" s="103">
        <f>IF(ISNUMBER(E31),E31,0)</f>
        <v>0</v>
      </c>
      <c r="B31" s="11" t="s">
        <v>983</v>
      </c>
      <c r="C31" s="115">
        <v>545026</v>
      </c>
      <c r="D31" s="116">
        <v>258616</v>
      </c>
      <c r="E31" s="104" t="str">
        <f>TEXT(E30,"0")&amp;"b"</f>
        <v>20b</v>
      </c>
      <c r="F31" s="117" t="s">
        <v>984</v>
      </c>
      <c r="G31" s="105" t="s">
        <v>915</v>
      </c>
      <c r="I31" s="11" t="s">
        <v>985</v>
      </c>
    </row>
    <row r="32" spans="3:6" ht="19.5" customHeight="1">
      <c r="C32" s="115"/>
      <c r="D32" s="116"/>
      <c r="F32" s="117"/>
    </row>
    <row r="33" spans="3:6" ht="19.5" customHeight="1">
      <c r="C33" s="115"/>
      <c r="D33" s="116"/>
      <c r="F33" s="117"/>
    </row>
    <row r="34" spans="2:9" ht="12.75" customHeight="1" hidden="1">
      <c r="B34" s="9" t="s">
        <v>986</v>
      </c>
      <c r="C34" s="115">
        <v>545188</v>
      </c>
      <c r="D34" s="116">
        <v>258495</v>
      </c>
      <c r="F34" s="117"/>
      <c r="G34" s="105" t="s">
        <v>915</v>
      </c>
      <c r="H34" s="11" t="s">
        <v>987</v>
      </c>
      <c r="I34" s="11" t="s">
        <v>988</v>
      </c>
    </row>
    <row r="35" spans="2:13" ht="12.75" customHeight="1" hidden="1">
      <c r="B35" s="63" t="s">
        <v>989</v>
      </c>
      <c r="C35" s="122">
        <v>544486</v>
      </c>
      <c r="D35" s="123">
        <v>257632</v>
      </c>
      <c r="F35" s="124"/>
      <c r="G35" s="125" t="s">
        <v>915</v>
      </c>
      <c r="H35" s="63" t="s">
        <v>990</v>
      </c>
      <c r="I35" s="64" t="s">
        <v>991</v>
      </c>
      <c r="J35" s="64"/>
      <c r="K35" s="64"/>
      <c r="L35" s="64"/>
      <c r="M35" s="64"/>
    </row>
    <row r="36" spans="2:13" ht="12.75" customHeight="1" hidden="1">
      <c r="B36" s="63" t="s">
        <v>992</v>
      </c>
      <c r="C36" s="122">
        <v>544221</v>
      </c>
      <c r="D36" s="123">
        <v>257441</v>
      </c>
      <c r="F36" s="124"/>
      <c r="G36" s="125" t="s">
        <v>918</v>
      </c>
      <c r="H36" s="63" t="s">
        <v>993</v>
      </c>
      <c r="I36" s="64"/>
      <c r="J36" s="64"/>
      <c r="K36" s="64"/>
      <c r="L36" s="64"/>
      <c r="M36" s="64"/>
    </row>
    <row r="37" spans="2:8" ht="12.75" hidden="1">
      <c r="B37" s="9" t="s">
        <v>942</v>
      </c>
      <c r="C37" s="115">
        <v>545875</v>
      </c>
      <c r="D37" s="116">
        <v>258246</v>
      </c>
      <c r="F37" s="117"/>
      <c r="G37" s="105" t="s">
        <v>915</v>
      </c>
      <c r="H37" s="9" t="s">
        <v>943</v>
      </c>
    </row>
    <row r="38" spans="3:8" ht="12.75" hidden="1">
      <c r="C38" s="115"/>
      <c r="D38" s="116"/>
      <c r="F38" s="117"/>
      <c r="H38" s="11"/>
    </row>
    <row r="39" spans="3:15" ht="12.75" hidden="1">
      <c r="C39" s="115"/>
      <c r="D39" s="116"/>
      <c r="F39" s="117"/>
      <c r="H39" s="13" t="s">
        <v>994</v>
      </c>
      <c r="I39" s="16" t="s">
        <v>995</v>
      </c>
      <c r="J39" s="16"/>
      <c r="K39" s="16"/>
      <c r="L39" s="16"/>
      <c r="M39" s="16"/>
      <c r="N39" s="16"/>
      <c r="O39" s="16"/>
    </row>
    <row r="40" spans="3:9" ht="12.75" hidden="1">
      <c r="C40" s="115"/>
      <c r="D40" s="116"/>
      <c r="F40" s="117"/>
      <c r="H40" s="9" t="s">
        <v>990</v>
      </c>
      <c r="I40" s="11" t="s">
        <v>996</v>
      </c>
    </row>
    <row r="41" spans="3:9" ht="12.75" hidden="1">
      <c r="C41" s="115"/>
      <c r="D41" s="116"/>
      <c r="F41" s="117"/>
      <c r="H41" s="9" t="s">
        <v>997</v>
      </c>
      <c r="I41" s="11" t="s">
        <v>998</v>
      </c>
    </row>
    <row r="42" spans="3:9" ht="12.75" hidden="1">
      <c r="C42" s="115"/>
      <c r="D42" s="116"/>
      <c r="F42" s="117"/>
      <c r="H42" s="9" t="s">
        <v>999</v>
      </c>
      <c r="I42" s="11" t="s">
        <v>1000</v>
      </c>
    </row>
    <row r="43" spans="3:9" ht="12.75" hidden="1">
      <c r="C43" s="115"/>
      <c r="D43" s="116"/>
      <c r="F43" s="117"/>
      <c r="H43" s="9" t="s">
        <v>1001</v>
      </c>
      <c r="I43" s="11" t="s">
        <v>1002</v>
      </c>
    </row>
    <row r="44" spans="3:6" ht="13.5">
      <c r="C44" s="115"/>
      <c r="D44" s="116"/>
      <c r="F44" s="117"/>
    </row>
    <row r="45" spans="3:6" ht="13.5">
      <c r="C45" s="115"/>
      <c r="D45" s="116"/>
      <c r="F45" s="117"/>
    </row>
    <row r="46" spans="3:6" ht="13.5">
      <c r="C46" s="115"/>
      <c r="D46" s="116"/>
      <c r="F46" s="117"/>
    </row>
    <row r="47" spans="3:6" ht="13.5">
      <c r="C47" s="115"/>
      <c r="D47" s="116"/>
      <c r="F47" s="117"/>
    </row>
    <row r="48" spans="3:6" ht="13.5">
      <c r="C48" s="115"/>
      <c r="D48" s="116"/>
      <c r="F48" s="117"/>
    </row>
    <row r="49" spans="3:6" ht="13.5">
      <c r="C49" s="115"/>
      <c r="D49" s="116"/>
      <c r="F49" s="117"/>
    </row>
    <row r="50" spans="3:6" ht="13.5">
      <c r="C50" s="115"/>
      <c r="D50" s="116"/>
      <c r="F50" s="117"/>
    </row>
    <row r="51" spans="3:6" ht="13.5">
      <c r="C51" s="115"/>
      <c r="D51" s="116"/>
      <c r="F51" s="117"/>
    </row>
    <row r="52" spans="3:6" ht="13.5">
      <c r="C52" s="115"/>
      <c r="D52" s="116"/>
      <c r="F52" s="117"/>
    </row>
  </sheetData>
  <mergeCells count="3">
    <mergeCell ref="C1:D1"/>
    <mergeCell ref="J1:L1"/>
    <mergeCell ref="M1:O1"/>
  </mergeCells>
  <conditionalFormatting sqref="G1:G65536 V29">
    <cfRule type="cellIs" priority="1" dxfId="0" operator="equal" stopIfTrue="1">
      <formula>"y"</formula>
    </cfRule>
  </conditionalFormatting>
  <printOptions horizontalCentered="1" verticalCentered="1"/>
  <pageMargins left="0.7479166666666667" right="0.7479166666666667" top="1.18125" bottom="0.9840277777777777" header="0.5118055555555555" footer="0.5118055555555555"/>
  <pageSetup horizontalDpi="300" verticalDpi="300" orientation="landscape" paperSize="9"/>
  <headerFooter alignWithMargins="0">
    <oddHeader>&amp;L&amp;"Monotype Corsiva,Regular"&amp;16Joint Morris Organisations
The Morris Ring&amp;C&amp;"Monotype Corsiva,Regular"&amp;16&amp;A&amp;R&amp;"Monotype Corsiva,Regular"&amp;16Cambridge Morris Men</oddHeader>
    <oddFooter>&amp;L&amp;F&amp;Cpage &amp;P of &amp;N&amp;R&amp;T on &amp;D</oddFooter>
  </headerFooter>
</worksheet>
</file>

<file path=xl/worksheets/sheet9.xml><?xml version="1.0" encoding="utf-8"?>
<worksheet xmlns="http://schemas.openxmlformats.org/spreadsheetml/2006/main" xmlns:r="http://schemas.openxmlformats.org/officeDocument/2006/relationships">
  <dimension ref="A1:A1"/>
  <sheetViews>
    <sheetView zoomScale="150" zoomScaleNormal="150" workbookViewId="0" topLeftCell="A1">
      <selection activeCell="A1" sqref="A1"/>
    </sheetView>
  </sheetViews>
  <sheetFormatPr defaultColWidth="9.140625" defaultRowHeight="12.75"/>
  <sheetData>
    <row r="1" ht="12">
      <c r="A1" s="126" t="s">
        <v>1003</v>
      </c>
    </row>
    <row r="65" ht="12.75" hidden="1"/>
    <row r="66" ht="12.75" hidden="1"/>
    <row r="67" ht="12.75" hidden="1"/>
    <row r="68" ht="12.75" hidden="1"/>
    <row r="69" ht="12.75" hidden="1"/>
    <row r="70" ht="12.75" hidden="1"/>
    <row r="71" ht="12.75" hidden="1"/>
    <row r="72" ht="12.75" hidden="1"/>
    <row r="73" ht="12.75" hidden="1"/>
    <row r="74" ht="12.75" hidden="1"/>
    <row r="75" ht="12.75" hidden="1"/>
    <row r="76" ht="12.75" hidden="1"/>
    <row r="77" ht="12.75" hidden="1"/>
    <row r="78" ht="12.75" hidden="1"/>
    <row r="79" ht="12.75" hidden="1"/>
    <row r="80" ht="12.75" hidden="1"/>
    <row r="81" ht="12.75" hidden="1"/>
    <row r="82" ht="12.75" hidden="1"/>
    <row r="83" ht="12.75" hidden="1"/>
  </sheetData>
  <printOptions horizontalCentered="1" verticalCentered="1"/>
  <pageMargins left="0.7479166666666667" right="0.7479166666666667" top="1.18125" bottom="0.9840277777777777" header="0.5118055555555555" footer="0.5118055555555555"/>
  <pageSetup horizontalDpi="300" verticalDpi="300" orientation="portrait" paperSize="9"/>
  <headerFooter alignWithMargins="0">
    <oddHeader>&amp;L&amp;"Monotype Corsiva,Regular"&amp;16Joint Morris Organisations
The Morris Ring&amp;C&amp;"Monotype Corsiva,Regular"&amp;16&amp;A&amp;R&amp;"Monotype Corsiva,Regular"&amp;16Cambridge Morris Men</oddHeader>
    <oddFooter>&amp;L&amp;F&amp;Cpage &amp;P of &amp;N&amp;R&amp;T on &amp;D</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Graham Cox</dc:creator>
  <cp:keywords/>
  <dc:description/>
  <cp:lastModifiedBy>Graham Cox</cp:lastModifiedBy>
  <cp:lastPrinted>2014-03-25T11:57:53Z</cp:lastPrinted>
  <dcterms:created xsi:type="dcterms:W3CDTF">2003-07-18T12:44:09Z</dcterms:created>
  <dcterms:modified xsi:type="dcterms:W3CDTF">2014-03-25T17:28:00Z</dcterms:modified>
  <cp:category/>
  <cp:version/>
  <cp:contentType/>
  <cp:contentStatus/>
  <cp:revision>1</cp:revision>
</cp:coreProperties>
</file>